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https://energinet-my.sharepoint.com/personal/nsy_energinet_dk/Documents/Skrivebord/ENTSOG/Early compliance/"/>
    </mc:Choice>
  </mc:AlternateContent>
  <xr:revisionPtr revIDLastSave="12" documentId="8_{97E5CA4D-D710-42DA-967A-723E1A5A91B1}" xr6:coauthVersionLast="45" xr6:coauthVersionMax="45" xr10:uidLastSave="{486044F7-E0DC-4B50-B59F-B648F47D1EB3}"/>
  <workbookProtection workbookAlgorithmName="SHA-512" workbookHashValue="ZgPlw2mkrE2/p98nTtT7K1pOJLAfcF5kprSh05SfQMPtrVtTgo/IILwC4Xj0x4J1AE9CIOriQr4yNfO7DELrmQ==" workbookSaltValue="PvyGVNtuScthEfJVQOkTgQ==" workbookSpinCount="100000" lockStructure="1"/>
  <bookViews>
    <workbookView xWindow="-19310" yWindow="1090" windowWidth="19420" windowHeight="10420" xr2:uid="{00000000-000D-0000-FFFF-FFFF00000000}"/>
  </bookViews>
  <sheets>
    <sheet name="Introduction" sheetId="54" r:id="rId1"/>
    <sheet name="1. Sensitivity input" sheetId="1" r:id="rId2"/>
    <sheet name="2. Input" sheetId="3" r:id="rId3"/>
    <sheet name="3. Charts" sheetId="4" r:id="rId4"/>
    <sheet name="4. Transportation costs example" sheetId="5" r:id="rId5"/>
    <sheet name="Input (raw)" sheetId="2" state="hidden" r:id="rId6"/>
    <sheet name="Costbase" sheetId="22" state="hidden" r:id="rId7"/>
    <sheet name="5. Tariff methodology overview" sheetId="6" state="hidden" r:id="rId8"/>
    <sheet name="1. CWD_CAA_cap_20" sheetId="7" state="hidden" r:id="rId9"/>
    <sheet name="2. CAA_cap_UniformTarif_20" sheetId="8" state="hidden" r:id="rId10"/>
    <sheet name="3. CAA_cap_20Tarif" sheetId="9" state="hidden" r:id="rId11"/>
    <sheet name="4. CAA_comm_20" sheetId="10" state="hidden" r:id="rId12"/>
    <sheet name="5. Current tariff method 20" sheetId="11" state="hidden" r:id="rId13"/>
    <sheet name="Forecasted Capacities" sheetId="23" state="hidden" r:id="rId14"/>
    <sheet name="6. CWD_CAA_cap_21" sheetId="12" state="hidden" r:id="rId15"/>
    <sheet name="7. CAA_comm_21" sheetId="13" state="hidden" r:id="rId16"/>
    <sheet name="8. CAA_cap_UniformTarif_21" sheetId="14" state="hidden" r:id="rId17"/>
    <sheet name="9. CAA_cap_21_currentTariff" sheetId="15" state="hidden" r:id="rId18"/>
    <sheet name="10. Current tariff method 21" sheetId="16" state="hidden" r:id="rId19"/>
    <sheet name="11. CWD_CAA_cap_22" sheetId="49" state="hidden" r:id="rId20"/>
    <sheet name="12. CAA_comm_22" sheetId="50" state="hidden" r:id="rId21"/>
    <sheet name="13. CAA_cap_UniformTarif_22" sheetId="51" state="hidden" r:id="rId22"/>
    <sheet name="14. CAA_cap_22_currentTariff" sheetId="52" state="hidden" r:id="rId23"/>
    <sheet name="15. Current tariff method 22" sheetId="53" state="hidden" r:id="rId24"/>
    <sheet name="16. CWD_CAA_cap_23" sheetId="39" state="hidden" r:id="rId25"/>
    <sheet name="17. CAA_cap_UniformTarif_23" sheetId="40" state="hidden" r:id="rId26"/>
    <sheet name="18. CAA_cap_23_currentTarif" sheetId="41" state="hidden" r:id="rId27"/>
    <sheet name="19. CAA_comm_23" sheetId="42" state="hidden" r:id="rId28"/>
    <sheet name="20. Current tariff method 23" sheetId="43" state="hidden" r:id="rId29"/>
    <sheet name="21. CWD_CAA_cap_24" sheetId="44" state="hidden" r:id="rId30"/>
    <sheet name="22. CAA_cap_UniformTarif_24" sheetId="45" state="hidden" r:id="rId31"/>
    <sheet name="23. CAA_cap_24_currentTarif" sheetId="46" state="hidden" r:id="rId32"/>
    <sheet name="24. CAA_comm_24" sheetId="47" state="hidden" r:id="rId33"/>
    <sheet name="25. Current tariff method 24" sheetId="48" state="hidden" r:id="rId34"/>
    <sheet name="26. CWD_CAA_cap_25" sheetId="34" state="hidden" r:id="rId35"/>
    <sheet name="27. CAA_cap_UniformTarif_25" sheetId="35" state="hidden" r:id="rId36"/>
    <sheet name="28. CAA_cap_25_currentTarif" sheetId="36" state="hidden" r:id="rId37"/>
    <sheet name="29. CAA_comm_25" sheetId="37" state="hidden" r:id="rId38"/>
    <sheet name="30. Current tariff method 25" sheetId="38" state="hidden" r:id="rId39"/>
  </sheets>
  <definedNames>
    <definedName name="_xlnm.Print_Area" localSheetId="1">'1. Sensitivity input'!$A$1:$J$13</definedName>
    <definedName name="_xlnm.Print_Area" localSheetId="2">'2. Input'!$A$1:$J$49</definedName>
    <definedName name="_xlnm.Print_Area" localSheetId="3">'3. Charts'!$A$34:$M$66</definedName>
    <definedName name="_xlnm.Print_Area" localSheetId="4">'4. Transportation costs example'!$B$21:$I$35</definedName>
    <definedName name="_xlnm.Print_Area" localSheetId="7">'5. Tariff methodology overview'!$B$98:$G$108</definedName>
    <definedName name="_xlnm.Print_Area" localSheetId="0">Introduction!$B$2:$D$21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22" l="1"/>
  <c r="G23" i="22"/>
  <c r="F23" i="22"/>
  <c r="G27" i="3" l="1"/>
  <c r="K68" i="2" l="1"/>
  <c r="J68" i="2"/>
  <c r="I68" i="2"/>
  <c r="H68" i="2"/>
  <c r="G68" i="2"/>
  <c r="J72" i="2"/>
  <c r="I72" i="2"/>
  <c r="H72" i="2"/>
  <c r="G72" i="2"/>
  <c r="E32" i="3" l="1"/>
  <c r="E48" i="3"/>
  <c r="E47" i="3"/>
  <c r="E46" i="3"/>
  <c r="E45" i="3"/>
  <c r="E43" i="3"/>
  <c r="E42" i="3"/>
  <c r="E41" i="3"/>
  <c r="E40" i="3"/>
  <c r="C30" i="22"/>
  <c r="J48" i="3" l="1"/>
  <c r="J47" i="3"/>
  <c r="J46" i="3"/>
  <c r="J45" i="3"/>
  <c r="J43" i="3"/>
  <c r="J42" i="3"/>
  <c r="J41" i="3"/>
  <c r="J40" i="3"/>
  <c r="J35" i="3"/>
  <c r="J34" i="3"/>
  <c r="J33" i="3"/>
  <c r="J32" i="3"/>
  <c r="J30" i="3"/>
  <c r="J29" i="3"/>
  <c r="J28" i="3"/>
  <c r="J27" i="3"/>
  <c r="L35" i="2"/>
  <c r="K35" i="2"/>
  <c r="J35" i="2"/>
  <c r="L34" i="2"/>
  <c r="K34" i="2"/>
  <c r="K46" i="2" s="1"/>
  <c r="L33" i="2"/>
  <c r="L36" i="2" s="1"/>
  <c r="K33" i="2"/>
  <c r="K36" i="2" s="1"/>
  <c r="K42" i="2"/>
  <c r="J42" i="2"/>
  <c r="K76" i="2"/>
  <c r="J31" i="3" l="1"/>
  <c r="K47" i="2"/>
  <c r="K48" i="2" s="1"/>
  <c r="J44" i="3"/>
  <c r="J39" i="3"/>
  <c r="K72" i="2"/>
  <c r="J26" i="3"/>
  <c r="J10" i="3"/>
  <c r="J19" i="3" s="1"/>
  <c r="J9" i="3"/>
  <c r="J18" i="3" s="1"/>
  <c r="H26" i="22"/>
  <c r="H25" i="22"/>
  <c r="H27" i="22" s="1"/>
  <c r="I42" i="3" l="1"/>
  <c r="H42" i="3"/>
  <c r="G42" i="3"/>
  <c r="F42" i="3"/>
  <c r="I41" i="3"/>
  <c r="H41" i="3"/>
  <c r="G41" i="3"/>
  <c r="F41" i="3"/>
  <c r="I40" i="3"/>
  <c r="H40" i="3"/>
  <c r="G40" i="3"/>
  <c r="F40" i="3"/>
  <c r="I47" i="3"/>
  <c r="H47" i="3"/>
  <c r="G47" i="3"/>
  <c r="F47" i="3"/>
  <c r="I46" i="3"/>
  <c r="H46" i="3"/>
  <c r="G46" i="3"/>
  <c r="F46" i="3"/>
  <c r="I45" i="3"/>
  <c r="H45" i="3"/>
  <c r="G45" i="3"/>
  <c r="F45" i="3"/>
  <c r="I34" i="3" l="1"/>
  <c r="H34" i="3"/>
  <c r="G34" i="3"/>
  <c r="F34" i="3"/>
  <c r="I33" i="3"/>
  <c r="H33" i="3"/>
  <c r="G33" i="3"/>
  <c r="F33" i="3"/>
  <c r="I32" i="3"/>
  <c r="H32" i="3"/>
  <c r="G32" i="3"/>
  <c r="F32" i="3"/>
  <c r="E34" i="3"/>
  <c r="E33" i="3"/>
  <c r="E29" i="3"/>
  <c r="E28" i="3"/>
  <c r="E27" i="3"/>
  <c r="G4" i="23" l="1"/>
  <c r="I29" i="3" l="1"/>
  <c r="H29" i="3"/>
  <c r="G29" i="3"/>
  <c r="F29" i="3"/>
  <c r="I28" i="3"/>
  <c r="H28" i="3"/>
  <c r="G28" i="3"/>
  <c r="F28" i="3"/>
  <c r="I27" i="3"/>
  <c r="H27" i="3"/>
  <c r="F27" i="3"/>
  <c r="D27" i="3"/>
  <c r="D29" i="3" l="1"/>
  <c r="D28" i="3"/>
  <c r="D30" i="3"/>
  <c r="I30" i="3" l="1"/>
  <c r="O7" i="23" s="1"/>
  <c r="E30" i="3"/>
  <c r="K7" i="23" s="1"/>
  <c r="I48" i="3"/>
  <c r="G14" i="23" s="1"/>
  <c r="G13" i="23"/>
  <c r="G12" i="23"/>
  <c r="G11" i="23"/>
  <c r="I43" i="3"/>
  <c r="G19" i="23" s="1"/>
  <c r="G18" i="23"/>
  <c r="G17" i="23"/>
  <c r="G16" i="23"/>
  <c r="H48" i="3"/>
  <c r="F14" i="23" s="1"/>
  <c r="F13" i="23"/>
  <c r="F12" i="23"/>
  <c r="F11" i="23"/>
  <c r="H43" i="3"/>
  <c r="F19" i="23" s="1"/>
  <c r="F18" i="23"/>
  <c r="F16" i="23"/>
  <c r="E13" i="23"/>
  <c r="E12" i="23"/>
  <c r="M19" i="39" s="1"/>
  <c r="G43" i="3"/>
  <c r="E19" i="23" s="1"/>
  <c r="E18" i="23"/>
  <c r="E17" i="23"/>
  <c r="E16" i="23"/>
  <c r="D13" i="23"/>
  <c r="D12" i="23"/>
  <c r="D11" i="23"/>
  <c r="F43" i="3"/>
  <c r="D19" i="23" s="1"/>
  <c r="D18" i="23"/>
  <c r="D17" i="23"/>
  <c r="D16" i="23"/>
  <c r="C13" i="23"/>
  <c r="C12" i="23"/>
  <c r="C11" i="23"/>
  <c r="C18" i="23"/>
  <c r="C17" i="23"/>
  <c r="C16" i="23"/>
  <c r="D40" i="3"/>
  <c r="B16" i="23" s="1"/>
  <c r="C42" i="39"/>
  <c r="C39" i="39"/>
  <c r="D5" i="23"/>
  <c r="D4" i="23"/>
  <c r="I4" i="53" s="1"/>
  <c r="C26" i="5"/>
  <c r="C25" i="5"/>
  <c r="O4" i="23"/>
  <c r="F3" i="23"/>
  <c r="M5" i="23"/>
  <c r="M3" i="23"/>
  <c r="E3" i="23"/>
  <c r="L5" i="23"/>
  <c r="L4" i="23"/>
  <c r="L3" i="23"/>
  <c r="K5" i="23"/>
  <c r="K4" i="23"/>
  <c r="K3" i="23"/>
  <c r="G5" i="23"/>
  <c r="F5" i="23"/>
  <c r="F4" i="23"/>
  <c r="E5" i="23"/>
  <c r="E4" i="23"/>
  <c r="C5" i="23"/>
  <c r="D32" i="3"/>
  <c r="O5" i="23" l="1"/>
  <c r="G3" i="23"/>
  <c r="O3" i="23"/>
  <c r="N4" i="23"/>
  <c r="N5" i="23"/>
  <c r="N3" i="23"/>
  <c r="F17" i="23"/>
  <c r="M4" i="23"/>
  <c r="E11" i="23"/>
  <c r="D3" i="23"/>
  <c r="C3" i="23"/>
  <c r="C4" i="23"/>
  <c r="B3" i="23"/>
  <c r="D34" i="3"/>
  <c r="D33" i="3"/>
  <c r="L9" i="11"/>
  <c r="D48" i="3"/>
  <c r="D47" i="3"/>
  <c r="D46" i="3"/>
  <c r="D45" i="3"/>
  <c r="D42" i="3"/>
  <c r="D41" i="3"/>
  <c r="B5" i="23" l="1"/>
  <c r="B4" i="23"/>
  <c r="B18" i="23"/>
  <c r="B14" i="23"/>
  <c r="B11" i="23"/>
  <c r="B13" i="23"/>
  <c r="B17" i="23"/>
  <c r="B12" i="23"/>
  <c r="I10" i="3"/>
  <c r="I19" i="3" s="1"/>
  <c r="H10" i="3"/>
  <c r="H19" i="3" s="1"/>
  <c r="G10" i="3"/>
  <c r="G19" i="3" s="1"/>
  <c r="F10" i="3"/>
  <c r="F19" i="3" s="1"/>
  <c r="E10" i="3"/>
  <c r="E19" i="3" s="1"/>
  <c r="D10" i="3"/>
  <c r="D19" i="3" s="1"/>
  <c r="E32" i="2"/>
  <c r="D32" i="2"/>
  <c r="E31" i="2"/>
  <c r="D31" i="2"/>
  <c r="D37" i="4" l="1"/>
  <c r="H30" i="3" l="1"/>
  <c r="G30" i="3"/>
  <c r="F30" i="3"/>
  <c r="J17" i="2"/>
  <c r="I17" i="2"/>
  <c r="H17" i="2"/>
  <c r="G17" i="2"/>
  <c r="F17" i="2"/>
  <c r="E17" i="2"/>
  <c r="D17" i="2"/>
  <c r="J22" i="2"/>
  <c r="I22" i="2"/>
  <c r="H22" i="2"/>
  <c r="G22" i="2"/>
  <c r="F22" i="2"/>
  <c r="E22" i="2"/>
  <c r="D22" i="2"/>
  <c r="N7" i="23" l="1"/>
  <c r="M7" i="23"/>
  <c r="L7" i="23"/>
  <c r="J3" i="23"/>
  <c r="J4" i="23"/>
  <c r="J5" i="23"/>
  <c r="J7" i="23"/>
  <c r="I26" i="3"/>
  <c r="G26" i="3"/>
  <c r="H26" i="3"/>
  <c r="D26" i="3"/>
  <c r="E26" i="3"/>
  <c r="F26" i="3"/>
  <c r="B26" i="22"/>
  <c r="L11" i="11" s="1"/>
  <c r="C26" i="22"/>
  <c r="D26" i="22"/>
  <c r="E26" i="22"/>
  <c r="F26" i="22"/>
  <c r="G26" i="22"/>
  <c r="M18" i="52" l="1"/>
  <c r="M18" i="51"/>
  <c r="M17" i="53" l="1"/>
  <c r="M17" i="49"/>
  <c r="D85" i="49" s="1"/>
  <c r="I10" i="53"/>
  <c r="L12" i="53"/>
  <c r="L14" i="53" s="1"/>
  <c r="F10" i="53"/>
  <c r="E10" i="53"/>
  <c r="D10" i="53"/>
  <c r="C10" i="53"/>
  <c r="B10" i="53"/>
  <c r="K48" i="52"/>
  <c r="E39" i="52"/>
  <c r="D39" i="52"/>
  <c r="C39" i="52"/>
  <c r="F38" i="52"/>
  <c r="E38" i="52"/>
  <c r="D38" i="52"/>
  <c r="F37" i="52"/>
  <c r="E37" i="52"/>
  <c r="D37" i="52"/>
  <c r="C37" i="52"/>
  <c r="L36" i="52"/>
  <c r="K36" i="52"/>
  <c r="F36" i="52"/>
  <c r="E36" i="52"/>
  <c r="D36" i="52"/>
  <c r="C36" i="52"/>
  <c r="D86" i="52"/>
  <c r="K48" i="51"/>
  <c r="E39" i="51"/>
  <c r="D39" i="51"/>
  <c r="C39" i="51"/>
  <c r="F38" i="51"/>
  <c r="E38" i="51"/>
  <c r="D38" i="51"/>
  <c r="F37" i="51"/>
  <c r="E37" i="51"/>
  <c r="D37" i="51"/>
  <c r="C37" i="51"/>
  <c r="F36" i="51"/>
  <c r="E36" i="51"/>
  <c r="D36" i="51"/>
  <c r="C36" i="51"/>
  <c r="K48" i="50"/>
  <c r="E39" i="50"/>
  <c r="D39" i="50"/>
  <c r="C39" i="50"/>
  <c r="F38" i="50"/>
  <c r="E38" i="50"/>
  <c r="D38" i="50"/>
  <c r="F37" i="50"/>
  <c r="E37" i="50"/>
  <c r="D37" i="50"/>
  <c r="C37" i="50"/>
  <c r="F36" i="50"/>
  <c r="E36" i="50"/>
  <c r="D36" i="50"/>
  <c r="C36" i="50"/>
  <c r="K47" i="49"/>
  <c r="E38" i="49"/>
  <c r="D38" i="49"/>
  <c r="C38" i="49"/>
  <c r="F37" i="49"/>
  <c r="E37" i="49"/>
  <c r="D37" i="49"/>
  <c r="F36" i="49"/>
  <c r="E36" i="49"/>
  <c r="D36" i="49"/>
  <c r="C36" i="49"/>
  <c r="F35" i="49"/>
  <c r="E35" i="49"/>
  <c r="D35" i="49"/>
  <c r="C35" i="49"/>
  <c r="F10" i="48"/>
  <c r="E10" i="48"/>
  <c r="D10" i="48"/>
  <c r="C10" i="48"/>
  <c r="B10" i="48"/>
  <c r="F5" i="48"/>
  <c r="D4" i="48"/>
  <c r="C4" i="48"/>
  <c r="C6" i="48" s="1"/>
  <c r="N53" i="47"/>
  <c r="M53" i="47"/>
  <c r="L53" i="47"/>
  <c r="K53" i="47"/>
  <c r="G42" i="47"/>
  <c r="F42" i="47"/>
  <c r="E42" i="47"/>
  <c r="D42" i="47"/>
  <c r="C42" i="47"/>
  <c r="G41" i="47"/>
  <c r="F41" i="47"/>
  <c r="E41" i="47"/>
  <c r="D41" i="47"/>
  <c r="C41" i="47"/>
  <c r="G40" i="47"/>
  <c r="E40" i="47"/>
  <c r="D40" i="47"/>
  <c r="C40" i="47"/>
  <c r="G39" i="47"/>
  <c r="F39" i="47"/>
  <c r="E39" i="47"/>
  <c r="D39" i="47"/>
  <c r="G38" i="47"/>
  <c r="F38" i="47"/>
  <c r="E38" i="47"/>
  <c r="D38" i="47"/>
  <c r="C38" i="47"/>
  <c r="G37" i="47"/>
  <c r="F37" i="47"/>
  <c r="E37" i="47"/>
  <c r="D37" i="47"/>
  <c r="C37" i="47"/>
  <c r="N53" i="46"/>
  <c r="M53" i="46"/>
  <c r="L53" i="46"/>
  <c r="K53" i="46"/>
  <c r="G42" i="46"/>
  <c r="F42" i="46"/>
  <c r="E42" i="46"/>
  <c r="D42" i="46"/>
  <c r="C42" i="46"/>
  <c r="G41" i="46"/>
  <c r="F41" i="46"/>
  <c r="E41" i="46"/>
  <c r="D41" i="46"/>
  <c r="C41" i="46"/>
  <c r="G40" i="46"/>
  <c r="E40" i="46"/>
  <c r="D40" i="46"/>
  <c r="C40" i="46"/>
  <c r="G39" i="46"/>
  <c r="F39" i="46"/>
  <c r="E39" i="46"/>
  <c r="D39" i="46"/>
  <c r="G38" i="46"/>
  <c r="F38" i="46"/>
  <c r="E38" i="46"/>
  <c r="D38" i="46"/>
  <c r="C38" i="46"/>
  <c r="G37" i="46"/>
  <c r="F37" i="46"/>
  <c r="E37" i="46"/>
  <c r="D37" i="46"/>
  <c r="C37" i="46"/>
  <c r="N53" i="45"/>
  <c r="M53" i="45"/>
  <c r="L53" i="45"/>
  <c r="K53" i="45"/>
  <c r="G42" i="45"/>
  <c r="F42" i="45"/>
  <c r="E42" i="45"/>
  <c r="D42" i="45"/>
  <c r="C42" i="45"/>
  <c r="G41" i="45"/>
  <c r="F41" i="45"/>
  <c r="E41" i="45"/>
  <c r="D41" i="45"/>
  <c r="C41" i="45"/>
  <c r="G40" i="45"/>
  <c r="E40" i="45"/>
  <c r="D40" i="45"/>
  <c r="C40" i="45"/>
  <c r="G39" i="45"/>
  <c r="F39" i="45"/>
  <c r="E39" i="45"/>
  <c r="D39" i="45"/>
  <c r="G38" i="45"/>
  <c r="F38" i="45"/>
  <c r="E38" i="45"/>
  <c r="D38" i="45"/>
  <c r="C38" i="45"/>
  <c r="G37" i="45"/>
  <c r="F37" i="45"/>
  <c r="E37" i="45"/>
  <c r="D37" i="45"/>
  <c r="C37" i="45"/>
  <c r="N53" i="44"/>
  <c r="M53" i="44"/>
  <c r="L53" i="44"/>
  <c r="K53" i="44"/>
  <c r="G42" i="44"/>
  <c r="F42" i="44"/>
  <c r="E42" i="44"/>
  <c r="D42" i="44"/>
  <c r="C42" i="44"/>
  <c r="G41" i="44"/>
  <c r="F41" i="44"/>
  <c r="E41" i="44"/>
  <c r="D41" i="44"/>
  <c r="C41" i="44"/>
  <c r="G40" i="44"/>
  <c r="E40" i="44"/>
  <c r="D40" i="44"/>
  <c r="C40" i="44"/>
  <c r="G39" i="44"/>
  <c r="F39" i="44"/>
  <c r="E39" i="44"/>
  <c r="D39" i="44"/>
  <c r="G38" i="44"/>
  <c r="F38" i="44"/>
  <c r="E38" i="44"/>
  <c r="D38" i="44"/>
  <c r="C38" i="44"/>
  <c r="G37" i="44"/>
  <c r="F37" i="44"/>
  <c r="E37" i="44"/>
  <c r="D37" i="44"/>
  <c r="C37" i="44"/>
  <c r="F10" i="43"/>
  <c r="E10" i="43"/>
  <c r="D10" i="43"/>
  <c r="C10" i="43"/>
  <c r="B10" i="43"/>
  <c r="F5" i="43"/>
  <c r="D4" i="43"/>
  <c r="D6" i="43" s="1"/>
  <c r="C4" i="43"/>
  <c r="C6" i="43" s="1"/>
  <c r="N53" i="42"/>
  <c r="M53" i="42"/>
  <c r="L53" i="42"/>
  <c r="K53" i="42"/>
  <c r="G42" i="42"/>
  <c r="F42" i="42"/>
  <c r="E42" i="42"/>
  <c r="D42" i="42"/>
  <c r="C42" i="42"/>
  <c r="G41" i="42"/>
  <c r="F41" i="42"/>
  <c r="E41" i="42"/>
  <c r="D41" i="42"/>
  <c r="C41" i="42"/>
  <c r="G40" i="42"/>
  <c r="E40" i="42"/>
  <c r="D40" i="42"/>
  <c r="C40" i="42"/>
  <c r="G39" i="42"/>
  <c r="F39" i="42"/>
  <c r="E39" i="42"/>
  <c r="D39" i="42"/>
  <c r="G38" i="42"/>
  <c r="F38" i="42"/>
  <c r="E38" i="42"/>
  <c r="D38" i="42"/>
  <c r="C38" i="42"/>
  <c r="G37" i="42"/>
  <c r="F37" i="42"/>
  <c r="E37" i="42"/>
  <c r="D37" i="42"/>
  <c r="C37" i="42"/>
  <c r="N53" i="41"/>
  <c r="M53" i="41"/>
  <c r="L53" i="41"/>
  <c r="K53" i="41"/>
  <c r="G42" i="41"/>
  <c r="F42" i="41"/>
  <c r="E42" i="41"/>
  <c r="D42" i="41"/>
  <c r="C42" i="41"/>
  <c r="G41" i="41"/>
  <c r="F41" i="41"/>
  <c r="E41" i="41"/>
  <c r="D41" i="41"/>
  <c r="C41" i="41"/>
  <c r="G40" i="41"/>
  <c r="E40" i="41"/>
  <c r="D40" i="41"/>
  <c r="C40" i="41"/>
  <c r="G39" i="41"/>
  <c r="F39" i="41"/>
  <c r="E39" i="41"/>
  <c r="D39" i="41"/>
  <c r="G38" i="41"/>
  <c r="F38" i="41"/>
  <c r="E38" i="41"/>
  <c r="D38" i="41"/>
  <c r="C38" i="41"/>
  <c r="G37" i="41"/>
  <c r="F37" i="41"/>
  <c r="E37" i="41"/>
  <c r="D37" i="41"/>
  <c r="C37" i="41"/>
  <c r="N53" i="40"/>
  <c r="M53" i="40"/>
  <c r="L53" i="40"/>
  <c r="K53" i="40"/>
  <c r="G42" i="40"/>
  <c r="F42" i="40"/>
  <c r="E42" i="40"/>
  <c r="D42" i="40"/>
  <c r="C42" i="40"/>
  <c r="G41" i="40"/>
  <c r="F41" i="40"/>
  <c r="E41" i="40"/>
  <c r="D41" i="40"/>
  <c r="C41" i="40"/>
  <c r="G40" i="40"/>
  <c r="E40" i="40"/>
  <c r="D40" i="40"/>
  <c r="C40" i="40"/>
  <c r="G39" i="40"/>
  <c r="F39" i="40"/>
  <c r="E39" i="40"/>
  <c r="D39" i="40"/>
  <c r="G38" i="40"/>
  <c r="F38" i="40"/>
  <c r="E38" i="40"/>
  <c r="D38" i="40"/>
  <c r="C38" i="40"/>
  <c r="G37" i="40"/>
  <c r="F37" i="40"/>
  <c r="E37" i="40"/>
  <c r="D37" i="40"/>
  <c r="C37" i="40"/>
  <c r="N53" i="39"/>
  <c r="M53" i="39"/>
  <c r="L53" i="39"/>
  <c r="K53" i="39"/>
  <c r="G42" i="39"/>
  <c r="F42" i="39"/>
  <c r="E42" i="39"/>
  <c r="D42" i="39"/>
  <c r="G41" i="39"/>
  <c r="F41" i="39"/>
  <c r="E41" i="39"/>
  <c r="D41" i="39"/>
  <c r="C41" i="39"/>
  <c r="G40" i="39"/>
  <c r="E40" i="39"/>
  <c r="D40" i="39"/>
  <c r="C40" i="39"/>
  <c r="G39" i="39"/>
  <c r="F39" i="39"/>
  <c r="E39" i="39"/>
  <c r="D39" i="39"/>
  <c r="G38" i="39"/>
  <c r="F38" i="39"/>
  <c r="E38" i="39"/>
  <c r="D38" i="39"/>
  <c r="C38" i="39"/>
  <c r="G37" i="39"/>
  <c r="F37" i="39"/>
  <c r="E37" i="39"/>
  <c r="D37" i="39"/>
  <c r="C37" i="39"/>
  <c r="F10" i="38"/>
  <c r="E10" i="38"/>
  <c r="D10" i="38"/>
  <c r="C10" i="38"/>
  <c r="B10" i="38"/>
  <c r="F5" i="38"/>
  <c r="D4" i="38"/>
  <c r="C4" i="38"/>
  <c r="C6" i="38" s="1"/>
  <c r="N53" i="37"/>
  <c r="M53" i="37"/>
  <c r="L53" i="37"/>
  <c r="K53" i="37"/>
  <c r="G42" i="37"/>
  <c r="F42" i="37"/>
  <c r="E42" i="37"/>
  <c r="D42" i="37"/>
  <c r="C42" i="37"/>
  <c r="G41" i="37"/>
  <c r="F41" i="37"/>
  <c r="E41" i="37"/>
  <c r="D41" i="37"/>
  <c r="C41" i="37"/>
  <c r="G40" i="37"/>
  <c r="E40" i="37"/>
  <c r="D40" i="37"/>
  <c r="C40" i="37"/>
  <c r="G39" i="37"/>
  <c r="F39" i="37"/>
  <c r="E39" i="37"/>
  <c r="D39" i="37"/>
  <c r="G38" i="37"/>
  <c r="F38" i="37"/>
  <c r="E38" i="37"/>
  <c r="D38" i="37"/>
  <c r="C38" i="37"/>
  <c r="G37" i="37"/>
  <c r="F37" i="37"/>
  <c r="E37" i="37"/>
  <c r="D37" i="37"/>
  <c r="C37" i="37"/>
  <c r="N53" i="36"/>
  <c r="M53" i="36"/>
  <c r="L53" i="36"/>
  <c r="K53" i="36"/>
  <c r="G42" i="36"/>
  <c r="F42" i="36"/>
  <c r="E42" i="36"/>
  <c r="D42" i="36"/>
  <c r="C42" i="36"/>
  <c r="G41" i="36"/>
  <c r="F41" i="36"/>
  <c r="E41" i="36"/>
  <c r="D41" i="36"/>
  <c r="C41" i="36"/>
  <c r="G40" i="36"/>
  <c r="E40" i="36"/>
  <c r="D40" i="36"/>
  <c r="C40" i="36"/>
  <c r="G39" i="36"/>
  <c r="F39" i="36"/>
  <c r="E39" i="36"/>
  <c r="D39" i="36"/>
  <c r="G38" i="36"/>
  <c r="F38" i="36"/>
  <c r="E38" i="36"/>
  <c r="D38" i="36"/>
  <c r="C38" i="36"/>
  <c r="G37" i="36"/>
  <c r="F37" i="36"/>
  <c r="E37" i="36"/>
  <c r="D37" i="36"/>
  <c r="C37" i="36"/>
  <c r="N53" i="35"/>
  <c r="M53" i="35"/>
  <c r="L53" i="35"/>
  <c r="K53" i="35"/>
  <c r="G42" i="35"/>
  <c r="F42" i="35"/>
  <c r="E42" i="35"/>
  <c r="D42" i="35"/>
  <c r="C42" i="35"/>
  <c r="G41" i="35"/>
  <c r="F41" i="35"/>
  <c r="E41" i="35"/>
  <c r="D41" i="35"/>
  <c r="C41" i="35"/>
  <c r="G40" i="35"/>
  <c r="E40" i="35"/>
  <c r="D40" i="35"/>
  <c r="C40" i="35"/>
  <c r="G39" i="35"/>
  <c r="F39" i="35"/>
  <c r="E39" i="35"/>
  <c r="D39" i="35"/>
  <c r="G38" i="35"/>
  <c r="F38" i="35"/>
  <c r="E38" i="35"/>
  <c r="D38" i="35"/>
  <c r="C38" i="35"/>
  <c r="G37" i="35"/>
  <c r="F37" i="35"/>
  <c r="E37" i="35"/>
  <c r="D37" i="35"/>
  <c r="C37" i="35"/>
  <c r="N53" i="34"/>
  <c r="M53" i="34"/>
  <c r="L53" i="34"/>
  <c r="K53" i="34"/>
  <c r="G42" i="34"/>
  <c r="F42" i="34"/>
  <c r="E42" i="34"/>
  <c r="D42" i="34"/>
  <c r="C42" i="34"/>
  <c r="G41" i="34"/>
  <c r="F41" i="34"/>
  <c r="E41" i="34"/>
  <c r="D41" i="34"/>
  <c r="C41" i="34"/>
  <c r="G40" i="34"/>
  <c r="E40" i="34"/>
  <c r="D40" i="34"/>
  <c r="C40" i="34"/>
  <c r="G39" i="34"/>
  <c r="F39" i="34"/>
  <c r="E39" i="34"/>
  <c r="D39" i="34"/>
  <c r="G38" i="34"/>
  <c r="F38" i="34"/>
  <c r="E38" i="34"/>
  <c r="D38" i="34"/>
  <c r="C38" i="34"/>
  <c r="G37" i="34"/>
  <c r="F37" i="34"/>
  <c r="E37" i="34"/>
  <c r="D37" i="34"/>
  <c r="C37" i="34"/>
  <c r="M18" i="15"/>
  <c r="M18" i="14"/>
  <c r="M17" i="12"/>
  <c r="I10" i="16"/>
  <c r="C14" i="38" l="1"/>
  <c r="C15" i="38" s="1"/>
  <c r="C14" i="48"/>
  <c r="C15" i="48" s="1"/>
  <c r="C14" i="43"/>
  <c r="C15" i="43" s="1"/>
  <c r="L13" i="53"/>
  <c r="C4" i="53" s="1"/>
  <c r="L36" i="51"/>
  <c r="D86" i="51"/>
  <c r="K36" i="51"/>
  <c r="N36" i="51"/>
  <c r="N35" i="49"/>
  <c r="K35" i="49"/>
  <c r="L35" i="49"/>
  <c r="D4" i="53"/>
  <c r="N36" i="52"/>
  <c r="D14" i="48"/>
  <c r="D6" i="48"/>
  <c r="D14" i="43"/>
  <c r="D14" i="38"/>
  <c r="D6" i="38"/>
  <c r="E21" i="8"/>
  <c r="L49" i="8" s="1"/>
  <c r="E20" i="10"/>
  <c r="M48" i="10" s="1"/>
  <c r="E21" i="9"/>
  <c r="K59" i="9" s="1"/>
  <c r="M21" i="9"/>
  <c r="K39" i="9" s="1"/>
  <c r="M21" i="37"/>
  <c r="L40" i="37" s="1"/>
  <c r="M21" i="47"/>
  <c r="K40" i="47" s="1"/>
  <c r="M21" i="42"/>
  <c r="M21" i="50"/>
  <c r="F80" i="50" s="1"/>
  <c r="M21" i="13"/>
  <c r="M20" i="10"/>
  <c r="L38" i="10" s="1"/>
  <c r="G25" i="22"/>
  <c r="G27" i="22" s="1"/>
  <c r="F25" i="22"/>
  <c r="F27" i="22" s="1"/>
  <c r="E25" i="22"/>
  <c r="E27" i="22" s="1"/>
  <c r="D25" i="22"/>
  <c r="D27" i="22" s="1"/>
  <c r="C25" i="22"/>
  <c r="C27" i="22" s="1"/>
  <c r="B25" i="22"/>
  <c r="E21" i="42"/>
  <c r="F10" i="16"/>
  <c r="E10" i="16"/>
  <c r="D10" i="16"/>
  <c r="C10" i="16"/>
  <c r="B10" i="16"/>
  <c r="K48" i="15"/>
  <c r="E39" i="15"/>
  <c r="D39" i="15"/>
  <c r="C39" i="15"/>
  <c r="F38" i="15"/>
  <c r="E38" i="15"/>
  <c r="D38" i="15"/>
  <c r="F37" i="15"/>
  <c r="E37" i="15"/>
  <c r="D37" i="15"/>
  <c r="C37" i="15"/>
  <c r="F36" i="15"/>
  <c r="E36" i="15"/>
  <c r="D36" i="15"/>
  <c r="C36" i="15"/>
  <c r="D86" i="15"/>
  <c r="K48" i="14"/>
  <c r="E39" i="14"/>
  <c r="D39" i="14"/>
  <c r="C39" i="14"/>
  <c r="F38" i="14"/>
  <c r="E38" i="14"/>
  <c r="D38" i="14"/>
  <c r="F37" i="14"/>
  <c r="E37" i="14"/>
  <c r="D37" i="14"/>
  <c r="C37" i="14"/>
  <c r="F36" i="14"/>
  <c r="E36" i="14"/>
  <c r="D36" i="14"/>
  <c r="C36" i="14"/>
  <c r="L36" i="14"/>
  <c r="K48" i="13"/>
  <c r="E39" i="13"/>
  <c r="D39" i="13"/>
  <c r="C39" i="13"/>
  <c r="F38" i="13"/>
  <c r="E38" i="13"/>
  <c r="D38" i="13"/>
  <c r="F37" i="13"/>
  <c r="E37" i="13"/>
  <c r="D37" i="13"/>
  <c r="C37" i="13"/>
  <c r="F36" i="13"/>
  <c r="E36" i="13"/>
  <c r="D36" i="13"/>
  <c r="C36" i="13"/>
  <c r="K47" i="12"/>
  <c r="E38" i="12"/>
  <c r="D38" i="12"/>
  <c r="C38" i="12"/>
  <c r="F37" i="12"/>
  <c r="E37" i="12"/>
  <c r="D37" i="12"/>
  <c r="F36" i="12"/>
  <c r="E36" i="12"/>
  <c r="D36" i="12"/>
  <c r="C36" i="12"/>
  <c r="F35" i="12"/>
  <c r="E35" i="12"/>
  <c r="D35" i="12"/>
  <c r="C35" i="12"/>
  <c r="D85" i="12"/>
  <c r="F10" i="11"/>
  <c r="E10" i="11"/>
  <c r="D10" i="11"/>
  <c r="C10" i="11"/>
  <c r="B10" i="11"/>
  <c r="F5" i="11"/>
  <c r="C4" i="11"/>
  <c r="K47" i="10"/>
  <c r="E38" i="10"/>
  <c r="D38" i="10"/>
  <c r="C38" i="10"/>
  <c r="F37" i="10"/>
  <c r="E37" i="10"/>
  <c r="D37" i="10"/>
  <c r="F36" i="10"/>
  <c r="E36" i="10"/>
  <c r="D36" i="10"/>
  <c r="C36" i="10"/>
  <c r="F35" i="10"/>
  <c r="E35" i="10"/>
  <c r="D35" i="10"/>
  <c r="C35" i="10"/>
  <c r="K48" i="9"/>
  <c r="E39" i="9"/>
  <c r="D39" i="9"/>
  <c r="C39" i="9"/>
  <c r="F38" i="9"/>
  <c r="E38" i="9"/>
  <c r="D38" i="9"/>
  <c r="F37" i="9"/>
  <c r="E37" i="9"/>
  <c r="D37" i="9"/>
  <c r="C37" i="9"/>
  <c r="F36" i="9"/>
  <c r="E36" i="9"/>
  <c r="D36" i="9"/>
  <c r="C36" i="9"/>
  <c r="K48" i="8"/>
  <c r="E39" i="8"/>
  <c r="D39" i="8"/>
  <c r="C39" i="8"/>
  <c r="F38" i="8"/>
  <c r="E38" i="8"/>
  <c r="D38" i="8"/>
  <c r="F37" i="8"/>
  <c r="E37" i="8"/>
  <c r="D37" i="8"/>
  <c r="C37" i="8"/>
  <c r="F36" i="8"/>
  <c r="E36" i="8"/>
  <c r="D36" i="8"/>
  <c r="C36" i="8"/>
  <c r="E39" i="7"/>
  <c r="D39" i="7"/>
  <c r="C39" i="7"/>
  <c r="F38" i="7"/>
  <c r="E38" i="7"/>
  <c r="D38" i="7"/>
  <c r="F37" i="7"/>
  <c r="E37" i="7"/>
  <c r="D37" i="7"/>
  <c r="C37" i="7"/>
  <c r="F36" i="7"/>
  <c r="E36" i="7"/>
  <c r="D36" i="7"/>
  <c r="C36" i="7"/>
  <c r="B27" i="22" l="1"/>
  <c r="L12" i="11" s="1"/>
  <c r="D4" i="11" s="1"/>
  <c r="D6" i="11" s="1"/>
  <c r="L10" i="11"/>
  <c r="H9" i="3"/>
  <c r="H18" i="3" s="1"/>
  <c r="I9" i="3"/>
  <c r="I18" i="3" s="1"/>
  <c r="F9" i="3"/>
  <c r="F18" i="3" s="1"/>
  <c r="G9" i="3"/>
  <c r="G18" i="3" s="1"/>
  <c r="E9" i="3"/>
  <c r="E18" i="3" s="1"/>
  <c r="C6" i="11"/>
  <c r="C14" i="11" s="1"/>
  <c r="C15" i="11" s="1"/>
  <c r="E21" i="13"/>
  <c r="M49" i="13" s="1"/>
  <c r="M21" i="8"/>
  <c r="K39" i="8" s="1"/>
  <c r="K39" i="50"/>
  <c r="E21" i="47"/>
  <c r="K51" i="47" s="1"/>
  <c r="E21" i="37"/>
  <c r="K51" i="37" s="1"/>
  <c r="M39" i="50"/>
  <c r="O51" i="42"/>
  <c r="M51" i="42"/>
  <c r="K51" i="42"/>
  <c r="L51" i="42"/>
  <c r="M40" i="42"/>
  <c r="F85" i="42"/>
  <c r="O40" i="42"/>
  <c r="M21" i="15"/>
  <c r="F86" i="15" s="1"/>
  <c r="M20" i="12"/>
  <c r="K38" i="12" s="1"/>
  <c r="M21" i="14"/>
  <c r="K70" i="14" s="1"/>
  <c r="E21" i="40"/>
  <c r="E21" i="41"/>
  <c r="E21" i="39"/>
  <c r="O40" i="47"/>
  <c r="M40" i="47"/>
  <c r="F85" i="47"/>
  <c r="E21" i="45"/>
  <c r="E21" i="46"/>
  <c r="E21" i="44"/>
  <c r="K40" i="42"/>
  <c r="M40" i="37"/>
  <c r="O40" i="37"/>
  <c r="F85" i="37"/>
  <c r="M21" i="41"/>
  <c r="M21" i="39"/>
  <c r="M21" i="40"/>
  <c r="E20" i="12"/>
  <c r="M48" i="12" s="1"/>
  <c r="E21" i="14"/>
  <c r="L49" i="14" s="1"/>
  <c r="E21" i="15"/>
  <c r="L49" i="15" s="1"/>
  <c r="E21" i="35"/>
  <c r="E21" i="36"/>
  <c r="E21" i="34"/>
  <c r="E21" i="50"/>
  <c r="E21" i="7"/>
  <c r="M49" i="7" s="1"/>
  <c r="P40" i="37"/>
  <c r="L40" i="47"/>
  <c r="M21" i="35"/>
  <c r="M21" i="36"/>
  <c r="M21" i="34"/>
  <c r="P40" i="42"/>
  <c r="M21" i="52"/>
  <c r="M21" i="51"/>
  <c r="M20" i="49"/>
  <c r="M20" i="53"/>
  <c r="M21" i="45"/>
  <c r="M21" i="46"/>
  <c r="M21" i="44"/>
  <c r="E21" i="52"/>
  <c r="E21" i="51"/>
  <c r="E20" i="49"/>
  <c r="M21" i="7"/>
  <c r="K39" i="7" s="1"/>
  <c r="K40" i="37"/>
  <c r="L40" i="42"/>
  <c r="P40" i="47"/>
  <c r="L39" i="50"/>
  <c r="D6" i="53"/>
  <c r="D14" i="53"/>
  <c r="C6" i="53"/>
  <c r="C14" i="53" s="1"/>
  <c r="D15" i="48"/>
  <c r="D15" i="43"/>
  <c r="D15" i="38"/>
  <c r="L48" i="10"/>
  <c r="K36" i="15"/>
  <c r="K48" i="10"/>
  <c r="K49" i="9"/>
  <c r="K35" i="12"/>
  <c r="L35" i="12"/>
  <c r="K49" i="8"/>
  <c r="K59" i="8"/>
  <c r="M49" i="8"/>
  <c r="L13" i="16"/>
  <c r="L12" i="16"/>
  <c r="L14" i="16" s="1"/>
  <c r="K70" i="9"/>
  <c r="M39" i="9"/>
  <c r="L39" i="9"/>
  <c r="F86" i="9"/>
  <c r="F79" i="10"/>
  <c r="M38" i="10"/>
  <c r="K38" i="10"/>
  <c r="L49" i="9"/>
  <c r="F80" i="13"/>
  <c r="M39" i="13"/>
  <c r="K39" i="13"/>
  <c r="M49" i="9"/>
  <c r="L39" i="13"/>
  <c r="D86" i="14"/>
  <c r="K36" i="14"/>
  <c r="N36" i="14"/>
  <c r="N35" i="12"/>
  <c r="L36" i="15"/>
  <c r="N36" i="15"/>
  <c r="M39" i="8" l="1"/>
  <c r="K59" i="14"/>
  <c r="K48" i="12"/>
  <c r="M49" i="14"/>
  <c r="L49" i="13"/>
  <c r="K49" i="13"/>
  <c r="K39" i="14"/>
  <c r="F86" i="14"/>
  <c r="D14" i="11"/>
  <c r="D15" i="11" s="1"/>
  <c r="B28" i="22"/>
  <c r="D9" i="3" s="1"/>
  <c r="D18" i="3" s="1"/>
  <c r="M51" i="37"/>
  <c r="F86" i="8"/>
  <c r="K70" i="8"/>
  <c r="K49" i="14"/>
  <c r="F85" i="12"/>
  <c r="L39" i="8"/>
  <c r="L39" i="14"/>
  <c r="L49" i="7"/>
  <c r="K59" i="15"/>
  <c r="L38" i="12"/>
  <c r="M49" i="15"/>
  <c r="M38" i="12"/>
  <c r="K49" i="7"/>
  <c r="L48" i="12"/>
  <c r="M39" i="14"/>
  <c r="O51" i="37"/>
  <c r="O51" i="47"/>
  <c r="M51" i="47"/>
  <c r="L51" i="47"/>
  <c r="L51" i="37"/>
  <c r="M39" i="7"/>
  <c r="M38" i="49"/>
  <c r="K38" i="49"/>
  <c r="F85" i="49"/>
  <c r="L38" i="49"/>
  <c r="M49" i="50"/>
  <c r="L49" i="50"/>
  <c r="K49" i="50"/>
  <c r="K40" i="40"/>
  <c r="P40" i="40"/>
  <c r="M40" i="40"/>
  <c r="F90" i="40"/>
  <c r="L40" i="40"/>
  <c r="K76" i="40"/>
  <c r="O40" i="40"/>
  <c r="K51" i="41"/>
  <c r="K63" i="41"/>
  <c r="O51" i="41"/>
  <c r="M51" i="41"/>
  <c r="L51" i="41"/>
  <c r="F86" i="7"/>
  <c r="L48" i="49"/>
  <c r="K48" i="49"/>
  <c r="M48" i="49"/>
  <c r="K70" i="51"/>
  <c r="L39" i="51"/>
  <c r="F86" i="51"/>
  <c r="K39" i="51"/>
  <c r="M39" i="51"/>
  <c r="M40" i="39"/>
  <c r="O40" i="39"/>
  <c r="K40" i="39"/>
  <c r="P40" i="39"/>
  <c r="L40" i="39"/>
  <c r="F94" i="39"/>
  <c r="K63" i="46"/>
  <c r="L51" i="46"/>
  <c r="M51" i="46"/>
  <c r="O51" i="46"/>
  <c r="K51" i="46"/>
  <c r="O51" i="40"/>
  <c r="K63" i="40"/>
  <c r="M51" i="40"/>
  <c r="L51" i="40"/>
  <c r="K51" i="40"/>
  <c r="K39" i="15"/>
  <c r="K49" i="15"/>
  <c r="L39" i="7"/>
  <c r="M49" i="51"/>
  <c r="L49" i="51"/>
  <c r="K49" i="51"/>
  <c r="K59" i="51"/>
  <c r="L40" i="45"/>
  <c r="O40" i="45"/>
  <c r="M40" i="45"/>
  <c r="K76" i="45"/>
  <c r="F90" i="45"/>
  <c r="P40" i="45"/>
  <c r="K40" i="45"/>
  <c r="F86" i="52"/>
  <c r="L39" i="52"/>
  <c r="K39" i="52"/>
  <c r="K70" i="52"/>
  <c r="M39" i="52"/>
  <c r="P40" i="35"/>
  <c r="K76" i="35"/>
  <c r="M40" i="35"/>
  <c r="F90" i="35"/>
  <c r="O40" i="35"/>
  <c r="K40" i="35"/>
  <c r="L40" i="35"/>
  <c r="K51" i="34"/>
  <c r="M51" i="34"/>
  <c r="L51" i="34"/>
  <c r="O51" i="34"/>
  <c r="K76" i="41"/>
  <c r="L40" i="41"/>
  <c r="F93" i="41"/>
  <c r="K40" i="41"/>
  <c r="O40" i="41"/>
  <c r="M40" i="41"/>
  <c r="P40" i="41"/>
  <c r="K63" i="45"/>
  <c r="M51" i="45"/>
  <c r="L51" i="45"/>
  <c r="O51" i="45"/>
  <c r="K51" i="45"/>
  <c r="P40" i="44"/>
  <c r="M40" i="44"/>
  <c r="K40" i="44"/>
  <c r="L40" i="44"/>
  <c r="F94" i="44"/>
  <c r="O40" i="44"/>
  <c r="K40" i="34"/>
  <c r="P40" i="34"/>
  <c r="L40" i="34"/>
  <c r="M40" i="34"/>
  <c r="F94" i="34"/>
  <c r="O40" i="34"/>
  <c r="M51" i="35"/>
  <c r="L51" i="35"/>
  <c r="K63" i="35"/>
  <c r="K51" i="35"/>
  <c r="O51" i="35"/>
  <c r="M51" i="44"/>
  <c r="L51" i="44"/>
  <c r="K51" i="44"/>
  <c r="O51" i="44"/>
  <c r="M39" i="15"/>
  <c r="M40" i="46"/>
  <c r="K40" i="46"/>
  <c r="P40" i="46"/>
  <c r="K76" i="46"/>
  <c r="F93" i="46"/>
  <c r="L40" i="46"/>
  <c r="O40" i="46"/>
  <c r="M40" i="36"/>
  <c r="K76" i="36"/>
  <c r="L40" i="36"/>
  <c r="O40" i="36"/>
  <c r="K40" i="36"/>
  <c r="F93" i="36"/>
  <c r="P40" i="36"/>
  <c r="K70" i="15"/>
  <c r="L39" i="15"/>
  <c r="K59" i="52"/>
  <c r="K49" i="52"/>
  <c r="M49" i="52"/>
  <c r="L49" i="52"/>
  <c r="O51" i="36"/>
  <c r="L51" i="36"/>
  <c r="K63" i="36"/>
  <c r="M51" i="36"/>
  <c r="K51" i="36"/>
  <c r="K51" i="39"/>
  <c r="L51" i="39"/>
  <c r="M51" i="39"/>
  <c r="O51" i="39"/>
  <c r="C15" i="53"/>
  <c r="D15" i="53"/>
  <c r="C4" i="16"/>
  <c r="D4" i="16"/>
  <c r="C6" i="16" l="1"/>
  <c r="C14" i="16" s="1"/>
  <c r="D14" i="16"/>
  <c r="D6" i="16"/>
  <c r="D15" i="16" l="1"/>
  <c r="C15" i="16"/>
  <c r="C9" i="5" l="1"/>
  <c r="C8" i="5"/>
  <c r="I3" i="43" l="1"/>
  <c r="I3" i="48"/>
  <c r="M19" i="10"/>
  <c r="I5" i="16"/>
  <c r="I5" i="38"/>
  <c r="M19" i="37"/>
  <c r="I4" i="38"/>
  <c r="M19" i="13"/>
  <c r="I4" i="16"/>
  <c r="I4" i="11"/>
  <c r="M18" i="10"/>
  <c r="I4" i="48"/>
  <c r="M19" i="47"/>
  <c r="C4" i="3"/>
  <c r="M20" i="47" l="1"/>
  <c r="N39" i="47" s="1"/>
  <c r="K88" i="47" s="1"/>
  <c r="M20" i="42"/>
  <c r="O39" i="42" s="1"/>
  <c r="K89" i="42" s="1"/>
  <c r="I3" i="11"/>
  <c r="M18" i="13"/>
  <c r="N36" i="13" s="1"/>
  <c r="I3" i="53"/>
  <c r="M18" i="37"/>
  <c r="K37" i="37" s="1"/>
  <c r="I3" i="16"/>
  <c r="I6" i="16" s="1"/>
  <c r="I3" i="38"/>
  <c r="M19" i="42"/>
  <c r="I4" i="43"/>
  <c r="N36" i="10"/>
  <c r="M36" i="10"/>
  <c r="K36" i="10"/>
  <c r="L36" i="10"/>
  <c r="E79" i="10"/>
  <c r="N37" i="13"/>
  <c r="M37" i="13"/>
  <c r="E80" i="13"/>
  <c r="K37" i="13"/>
  <c r="L37" i="13"/>
  <c r="P38" i="37"/>
  <c r="E85" i="37"/>
  <c r="K38" i="37"/>
  <c r="N38" i="37"/>
  <c r="L38" i="37"/>
  <c r="M38" i="37"/>
  <c r="O38" i="37"/>
  <c r="I5" i="43"/>
  <c r="M18" i="42"/>
  <c r="M18" i="47"/>
  <c r="I5" i="48"/>
  <c r="I5" i="53"/>
  <c r="M18" i="50"/>
  <c r="M19" i="50"/>
  <c r="I5" i="11"/>
  <c r="I6" i="11" s="1"/>
  <c r="M17" i="10"/>
  <c r="M38" i="47"/>
  <c r="L38" i="47"/>
  <c r="O38" i="47"/>
  <c r="N38" i="47"/>
  <c r="K38" i="47"/>
  <c r="P38" i="47"/>
  <c r="E85" i="47"/>
  <c r="M37" i="10"/>
  <c r="K37" i="10"/>
  <c r="K79" i="10" s="1"/>
  <c r="C79" i="10"/>
  <c r="N37" i="10"/>
  <c r="K82" i="10" s="1"/>
  <c r="L37" i="10"/>
  <c r="K80" i="10" s="1"/>
  <c r="K36" i="13" l="1"/>
  <c r="L80" i="13" s="1"/>
  <c r="M39" i="47"/>
  <c r="K87" i="47" s="1"/>
  <c r="K39" i="47"/>
  <c r="K85" i="47" s="1"/>
  <c r="O39" i="47"/>
  <c r="K89" i="47" s="1"/>
  <c r="C85" i="47"/>
  <c r="L39" i="47"/>
  <c r="K86" i="47" s="1"/>
  <c r="P39" i="47"/>
  <c r="K90" i="47" s="1"/>
  <c r="P39" i="42"/>
  <c r="K90" i="42" s="1"/>
  <c r="K39" i="42"/>
  <c r="K85" i="42" s="1"/>
  <c r="M39" i="42"/>
  <c r="K87" i="42" s="1"/>
  <c r="N39" i="42"/>
  <c r="K88" i="42" s="1"/>
  <c r="L39" i="42"/>
  <c r="K86" i="42" s="1"/>
  <c r="C85" i="42"/>
  <c r="M20" i="13"/>
  <c r="M38" i="13" s="1"/>
  <c r="L36" i="13"/>
  <c r="D80" i="13"/>
  <c r="C93" i="13" s="1"/>
  <c r="P37" i="37"/>
  <c r="L90" i="37" s="1"/>
  <c r="M20" i="50"/>
  <c r="M38" i="50" s="1"/>
  <c r="L37" i="37"/>
  <c r="O37" i="37"/>
  <c r="D85" i="37"/>
  <c r="N37" i="37"/>
  <c r="M20" i="37"/>
  <c r="C85" i="37" s="1"/>
  <c r="N37" i="47"/>
  <c r="K37" i="47"/>
  <c r="O37" i="47"/>
  <c r="L37" i="47"/>
  <c r="P37" i="47"/>
  <c r="D85" i="47"/>
  <c r="L80" i="10"/>
  <c r="L83" i="13"/>
  <c r="N37" i="50"/>
  <c r="L37" i="50"/>
  <c r="M37" i="50"/>
  <c r="K37" i="50"/>
  <c r="E80" i="50"/>
  <c r="L36" i="50"/>
  <c r="N36" i="50"/>
  <c r="K36" i="50"/>
  <c r="D80" i="50"/>
  <c r="P37" i="42"/>
  <c r="D85" i="42"/>
  <c r="N37" i="42"/>
  <c r="K37" i="42"/>
  <c r="L37" i="42"/>
  <c r="O37" i="42"/>
  <c r="I6" i="53"/>
  <c r="K35" i="10"/>
  <c r="K40" i="10" s="1"/>
  <c r="C44" i="10" s="1"/>
  <c r="L35" i="10"/>
  <c r="L40" i="10" s="1"/>
  <c r="C45" i="10" s="1"/>
  <c r="D79" i="10"/>
  <c r="N35" i="10"/>
  <c r="M22" i="10"/>
  <c r="M40" i="10"/>
  <c r="C46" i="10" s="1"/>
  <c r="L81" i="10"/>
  <c r="K81" i="10"/>
  <c r="M38" i="42"/>
  <c r="K38" i="42"/>
  <c r="N38" i="42"/>
  <c r="L38" i="42"/>
  <c r="P38" i="42"/>
  <c r="O38" i="42"/>
  <c r="E85" i="42"/>
  <c r="N38" i="13" l="1"/>
  <c r="K83" i="13" s="1"/>
  <c r="K38" i="13"/>
  <c r="K80" i="13" s="1"/>
  <c r="L38" i="13"/>
  <c r="K81" i="13" s="1"/>
  <c r="C80" i="13"/>
  <c r="M23" i="13"/>
  <c r="M23" i="50"/>
  <c r="N38" i="50"/>
  <c r="K83" i="50" s="1"/>
  <c r="L38" i="50"/>
  <c r="K81" i="50" s="1"/>
  <c r="C80" i="50"/>
  <c r="K38" i="50"/>
  <c r="K80" i="50" s="1"/>
  <c r="M41" i="50"/>
  <c r="C47" i="50" s="1"/>
  <c r="L39" i="37"/>
  <c r="K86" i="37" s="1"/>
  <c r="P39" i="37"/>
  <c r="K90" i="37" s="1"/>
  <c r="K39" i="37"/>
  <c r="K85" i="37" s="1"/>
  <c r="M39" i="37"/>
  <c r="K87" i="37" s="1"/>
  <c r="N39" i="37"/>
  <c r="K88" i="37" s="1"/>
  <c r="O39" i="37"/>
  <c r="K89" i="37" s="1"/>
  <c r="C93" i="50"/>
  <c r="P43" i="47"/>
  <c r="C52" i="47" s="1"/>
  <c r="L90" i="47"/>
  <c r="L82" i="10"/>
  <c r="N40" i="10"/>
  <c r="C47" i="10" s="1"/>
  <c r="L82" i="13"/>
  <c r="K82" i="13"/>
  <c r="C92" i="10"/>
  <c r="L79" i="10"/>
  <c r="L83" i="50"/>
  <c r="L80" i="50"/>
  <c r="K82" i="50"/>
  <c r="L82" i="50"/>
  <c r="M41" i="13"/>
  <c r="C47" i="13" s="1"/>
  <c r="P43" i="42"/>
  <c r="C52" i="42" s="1"/>
  <c r="L90" i="42"/>
  <c r="K41" i="13"/>
  <c r="C45" i="13" s="1"/>
  <c r="J47" i="2"/>
  <c r="I35" i="2"/>
  <c r="H35" i="2"/>
  <c r="G35" i="2"/>
  <c r="F35" i="2"/>
  <c r="E35" i="2"/>
  <c r="D35" i="2"/>
  <c r="J34" i="2"/>
  <c r="J46" i="2" s="1"/>
  <c r="I34" i="2"/>
  <c r="I46" i="2" s="1"/>
  <c r="H34" i="2"/>
  <c r="G34" i="2"/>
  <c r="F34" i="2"/>
  <c r="E34" i="2"/>
  <c r="J33" i="2"/>
  <c r="J36" i="2" s="1"/>
  <c r="I33" i="2"/>
  <c r="H33" i="2"/>
  <c r="G33" i="2"/>
  <c r="F33" i="2"/>
  <c r="J48" i="2" l="1"/>
  <c r="J8" i="3" s="1"/>
  <c r="N41" i="13"/>
  <c r="C48" i="13" s="1"/>
  <c r="L41" i="13"/>
  <c r="C46" i="13" s="1"/>
  <c r="L81" i="13"/>
  <c r="L41" i="50"/>
  <c r="C46" i="50" s="1"/>
  <c r="L81" i="50"/>
  <c r="K41" i="50"/>
  <c r="C45" i="50" s="1"/>
  <c r="N41" i="50"/>
  <c r="C48" i="50" s="1"/>
  <c r="P43" i="37"/>
  <c r="C52" i="37" s="1"/>
  <c r="E47" i="2"/>
  <c r="I47" i="2"/>
  <c r="I48" i="2" s="1"/>
  <c r="E18" i="7"/>
  <c r="I12" i="11"/>
  <c r="E18" i="9"/>
  <c r="E17" i="10"/>
  <c r="E18" i="8"/>
  <c r="E19" i="52"/>
  <c r="E19" i="51"/>
  <c r="E18" i="49"/>
  <c r="E19" i="50"/>
  <c r="I14" i="53"/>
  <c r="E18" i="46"/>
  <c r="E18" i="44"/>
  <c r="E18" i="45"/>
  <c r="I14" i="48"/>
  <c r="M20" i="39"/>
  <c r="M20" i="40"/>
  <c r="I9" i="43"/>
  <c r="M20" i="41"/>
  <c r="M19" i="7"/>
  <c r="M19" i="8"/>
  <c r="M19" i="9"/>
  <c r="I9" i="11"/>
  <c r="I13" i="16"/>
  <c r="E20" i="15"/>
  <c r="E20" i="13"/>
  <c r="E20" i="14"/>
  <c r="E19" i="12"/>
  <c r="E20" i="34"/>
  <c r="I15" i="38"/>
  <c r="E20" i="36"/>
  <c r="E20" i="37"/>
  <c r="E20" i="35"/>
  <c r="M19" i="44"/>
  <c r="I10" i="48"/>
  <c r="M19" i="45"/>
  <c r="M19" i="46"/>
  <c r="G46" i="2"/>
  <c r="D47" i="2"/>
  <c r="H47" i="2"/>
  <c r="G47" i="2"/>
  <c r="E46" i="2"/>
  <c r="F47" i="2"/>
  <c r="F46" i="2"/>
  <c r="H46" i="2"/>
  <c r="D42" i="2"/>
  <c r="H42" i="2"/>
  <c r="E17" i="49"/>
  <c r="F36" i="2"/>
  <c r="G36" i="2"/>
  <c r="H36" i="2"/>
  <c r="E36" i="2"/>
  <c r="I36" i="2"/>
  <c r="J17" i="3" l="1"/>
  <c r="H19" i="22"/>
  <c r="H30" i="22" s="1"/>
  <c r="I12" i="16"/>
  <c r="E18" i="14"/>
  <c r="E17" i="12"/>
  <c r="E18" i="15"/>
  <c r="M20" i="34"/>
  <c r="I9" i="38"/>
  <c r="M20" i="35"/>
  <c r="M20" i="36"/>
  <c r="E18" i="36"/>
  <c r="E18" i="34"/>
  <c r="I14" i="38"/>
  <c r="E18" i="35"/>
  <c r="M20" i="45"/>
  <c r="I9" i="48"/>
  <c r="M20" i="46"/>
  <c r="M20" i="44"/>
  <c r="M20" i="52"/>
  <c r="M19" i="49"/>
  <c r="M20" i="51"/>
  <c r="M19" i="53"/>
  <c r="I8" i="53"/>
  <c r="I12" i="53"/>
  <c r="E18" i="52"/>
  <c r="E18" i="51"/>
  <c r="E19" i="13"/>
  <c r="E19" i="14"/>
  <c r="E19" i="15"/>
  <c r="I14" i="16"/>
  <c r="E18" i="12"/>
  <c r="E18" i="40"/>
  <c r="E18" i="41"/>
  <c r="E18" i="39"/>
  <c r="I14" i="43"/>
  <c r="E93" i="46"/>
  <c r="L38" i="46"/>
  <c r="O38" i="46"/>
  <c r="N38" i="46"/>
  <c r="K38" i="46"/>
  <c r="M38" i="46"/>
  <c r="P38" i="46"/>
  <c r="L50" i="35"/>
  <c r="N50" i="35"/>
  <c r="M50" i="35"/>
  <c r="O50" i="35"/>
  <c r="L50" i="34"/>
  <c r="N50" i="34"/>
  <c r="M50" i="34"/>
  <c r="O50" i="34"/>
  <c r="L48" i="15"/>
  <c r="N48" i="15"/>
  <c r="M48" i="15"/>
  <c r="K37" i="9"/>
  <c r="N37" i="9"/>
  <c r="M37" i="9"/>
  <c r="E86" i="9"/>
  <c r="L37" i="9"/>
  <c r="O39" i="41"/>
  <c r="K97" i="41" s="1"/>
  <c r="P39" i="41"/>
  <c r="K98" i="41" s="1"/>
  <c r="C93" i="41"/>
  <c r="N39" i="41"/>
  <c r="K96" i="41" s="1"/>
  <c r="K39" i="41"/>
  <c r="K93" i="41" s="1"/>
  <c r="M39" i="41"/>
  <c r="K95" i="41" s="1"/>
  <c r="L39" i="41"/>
  <c r="K94" i="41" s="1"/>
  <c r="P39" i="39"/>
  <c r="K99" i="39" s="1"/>
  <c r="O39" i="39"/>
  <c r="K98" i="39" s="1"/>
  <c r="M39" i="39"/>
  <c r="K96" i="39" s="1"/>
  <c r="C94" i="39"/>
  <c r="N39" i="39"/>
  <c r="K97" i="39" s="1"/>
  <c r="K39" i="39"/>
  <c r="K94" i="39" s="1"/>
  <c r="L39" i="39"/>
  <c r="K95" i="39" s="1"/>
  <c r="L47" i="50"/>
  <c r="N47" i="50"/>
  <c r="K47" i="50"/>
  <c r="M47" i="50"/>
  <c r="K46" i="8"/>
  <c r="N46" i="8"/>
  <c r="M46" i="8"/>
  <c r="L46" i="8"/>
  <c r="I8" i="11"/>
  <c r="M20" i="9"/>
  <c r="M20" i="8"/>
  <c r="M20" i="7"/>
  <c r="I11" i="48"/>
  <c r="M18" i="46"/>
  <c r="M18" i="44"/>
  <c r="M18" i="45"/>
  <c r="E19" i="44"/>
  <c r="I16" i="48"/>
  <c r="E19" i="45"/>
  <c r="E19" i="47"/>
  <c r="E19" i="46"/>
  <c r="I15" i="48"/>
  <c r="E20" i="46"/>
  <c r="E20" i="45"/>
  <c r="E20" i="47"/>
  <c r="E20" i="44"/>
  <c r="M38" i="45"/>
  <c r="N38" i="45"/>
  <c r="K38" i="45"/>
  <c r="E90" i="45"/>
  <c r="P38" i="45"/>
  <c r="O38" i="45"/>
  <c r="L38" i="45"/>
  <c r="N50" i="37"/>
  <c r="O50" i="37"/>
  <c r="M50" i="37"/>
  <c r="L50" i="37"/>
  <c r="N47" i="12"/>
  <c r="M47" i="12"/>
  <c r="L47" i="12"/>
  <c r="E86" i="8"/>
  <c r="L37" i="8"/>
  <c r="K37" i="8"/>
  <c r="N37" i="8"/>
  <c r="M37" i="8"/>
  <c r="E18" i="47"/>
  <c r="M48" i="44"/>
  <c r="K48" i="44"/>
  <c r="N48" i="44"/>
  <c r="L48" i="44"/>
  <c r="O48" i="44"/>
  <c r="K46" i="49"/>
  <c r="M46" i="49"/>
  <c r="N46" i="49"/>
  <c r="L46" i="49"/>
  <c r="L46" i="7"/>
  <c r="M46" i="7"/>
  <c r="N46" i="7"/>
  <c r="K46" i="7"/>
  <c r="M18" i="40"/>
  <c r="M18" i="39"/>
  <c r="M18" i="41"/>
  <c r="I11" i="43"/>
  <c r="E19" i="40"/>
  <c r="E19" i="41"/>
  <c r="E19" i="39"/>
  <c r="I16" i="43"/>
  <c r="E19" i="42"/>
  <c r="I10" i="11"/>
  <c r="M18" i="9"/>
  <c r="M18" i="8"/>
  <c r="M18" i="7"/>
  <c r="E19" i="9"/>
  <c r="E18" i="10"/>
  <c r="E19" i="7"/>
  <c r="I14" i="11"/>
  <c r="E19" i="8"/>
  <c r="M19" i="34"/>
  <c r="I10" i="38"/>
  <c r="M19" i="36"/>
  <c r="M19" i="35"/>
  <c r="I9" i="16"/>
  <c r="M19" i="15"/>
  <c r="M19" i="14"/>
  <c r="M18" i="12"/>
  <c r="L50" i="36"/>
  <c r="O50" i="36"/>
  <c r="M50" i="36"/>
  <c r="N50" i="36"/>
  <c r="L48" i="14"/>
  <c r="N48" i="14"/>
  <c r="M48" i="14"/>
  <c r="M37" i="7"/>
  <c r="N37" i="7"/>
  <c r="E86" i="7"/>
  <c r="L37" i="7"/>
  <c r="K37" i="7"/>
  <c r="N48" i="46"/>
  <c r="M48" i="46"/>
  <c r="L48" i="46"/>
  <c r="K48" i="46"/>
  <c r="O48" i="46"/>
  <c r="M47" i="51"/>
  <c r="N47" i="51"/>
  <c r="L47" i="51"/>
  <c r="K47" i="51"/>
  <c r="K46" i="9"/>
  <c r="N46" i="9"/>
  <c r="L46" i="9"/>
  <c r="M46" i="9"/>
  <c r="M20" i="15"/>
  <c r="M20" i="14"/>
  <c r="M19" i="12"/>
  <c r="I8" i="16"/>
  <c r="M19" i="52"/>
  <c r="M18" i="53"/>
  <c r="M19" i="51"/>
  <c r="M18" i="49"/>
  <c r="I9" i="53"/>
  <c r="E20" i="52"/>
  <c r="E20" i="50"/>
  <c r="E20" i="51"/>
  <c r="I13" i="53"/>
  <c r="E19" i="49"/>
  <c r="I10" i="43"/>
  <c r="M19" i="40"/>
  <c r="M19" i="41"/>
  <c r="E20" i="41"/>
  <c r="E20" i="39"/>
  <c r="I15" i="43"/>
  <c r="E20" i="42"/>
  <c r="E20" i="40"/>
  <c r="E19" i="34"/>
  <c r="E19" i="37"/>
  <c r="E19" i="36"/>
  <c r="I16" i="38"/>
  <c r="E19" i="35"/>
  <c r="E20" i="9"/>
  <c r="E20" i="8"/>
  <c r="E19" i="10"/>
  <c r="E20" i="7"/>
  <c r="I13" i="11"/>
  <c r="I11" i="38"/>
  <c r="M18" i="36"/>
  <c r="M18" i="35"/>
  <c r="M18" i="34"/>
  <c r="K38" i="44"/>
  <c r="O38" i="44"/>
  <c r="P38" i="44"/>
  <c r="E94" i="44"/>
  <c r="M38" i="44"/>
  <c r="L38" i="44"/>
  <c r="N38" i="44"/>
  <c r="L48" i="13"/>
  <c r="N48" i="13"/>
  <c r="M48" i="13"/>
  <c r="L39" i="40"/>
  <c r="K91" i="40" s="1"/>
  <c r="O39" i="40"/>
  <c r="K94" i="40" s="1"/>
  <c r="P39" i="40"/>
  <c r="K95" i="40" s="1"/>
  <c r="M39" i="40"/>
  <c r="K92" i="40" s="1"/>
  <c r="K39" i="40"/>
  <c r="K90" i="40" s="1"/>
  <c r="C90" i="40"/>
  <c r="N39" i="40"/>
  <c r="K93" i="40" s="1"/>
  <c r="M48" i="45"/>
  <c r="K48" i="45"/>
  <c r="L48" i="45"/>
  <c r="O48" i="45"/>
  <c r="N48" i="45"/>
  <c r="N47" i="52"/>
  <c r="L47" i="52"/>
  <c r="K47" i="52"/>
  <c r="M47" i="52"/>
  <c r="J9" i="2"/>
  <c r="J4" i="2"/>
  <c r="G48" i="2"/>
  <c r="G8" i="3" s="1"/>
  <c r="I8" i="3"/>
  <c r="E48" i="2"/>
  <c r="E8" i="3" s="1"/>
  <c r="H48" i="2"/>
  <c r="H8" i="3" s="1"/>
  <c r="H17" i="3" s="1"/>
  <c r="F48" i="2"/>
  <c r="F8" i="3" s="1"/>
  <c r="D19" i="22" s="1"/>
  <c r="F42" i="2"/>
  <c r="G42" i="2"/>
  <c r="I42" i="2"/>
  <c r="E42" i="2"/>
  <c r="J27" i="2"/>
  <c r="I11" i="16" l="1"/>
  <c r="H32" i="22"/>
  <c r="J13" i="3" s="1"/>
  <c r="J22" i="3" s="1"/>
  <c r="K8" i="4" s="1"/>
  <c r="J11" i="3"/>
  <c r="K37" i="4" s="1"/>
  <c r="H31" i="22"/>
  <c r="E22" i="9"/>
  <c r="I15" i="11"/>
  <c r="E22" i="8"/>
  <c r="O37" i="35"/>
  <c r="D90" i="35"/>
  <c r="P37" i="35"/>
  <c r="N37" i="35"/>
  <c r="L37" i="35"/>
  <c r="K37" i="35"/>
  <c r="L48" i="7"/>
  <c r="M48" i="7"/>
  <c r="N48" i="7"/>
  <c r="N49" i="35"/>
  <c r="O49" i="35"/>
  <c r="M49" i="35"/>
  <c r="K49" i="35"/>
  <c r="L49" i="35"/>
  <c r="O49" i="34"/>
  <c r="L49" i="34"/>
  <c r="N49" i="34"/>
  <c r="K49" i="34"/>
  <c r="M49" i="34"/>
  <c r="L50" i="39"/>
  <c r="O50" i="39"/>
  <c r="N50" i="39"/>
  <c r="M50" i="39"/>
  <c r="M48" i="51"/>
  <c r="L48" i="51"/>
  <c r="N48" i="51"/>
  <c r="K36" i="49"/>
  <c r="L36" i="49"/>
  <c r="N36" i="49"/>
  <c r="M21" i="49"/>
  <c r="E85" i="49"/>
  <c r="M36" i="49"/>
  <c r="K38" i="15"/>
  <c r="K86" i="15" s="1"/>
  <c r="M38" i="15"/>
  <c r="K88" i="15" s="1"/>
  <c r="N38" i="15"/>
  <c r="K89" i="15" s="1"/>
  <c r="C86" i="15"/>
  <c r="L38" i="15"/>
  <c r="K87" i="15" s="1"/>
  <c r="L37" i="14"/>
  <c r="M37" i="14"/>
  <c r="N37" i="14"/>
  <c r="E86" i="14"/>
  <c r="M22" i="14"/>
  <c r="K37" i="14"/>
  <c r="L38" i="36"/>
  <c r="M38" i="36"/>
  <c r="K38" i="36"/>
  <c r="E93" i="36"/>
  <c r="N38" i="36"/>
  <c r="P38" i="36"/>
  <c r="O38" i="36"/>
  <c r="K36" i="7"/>
  <c r="N36" i="7"/>
  <c r="D86" i="7"/>
  <c r="M22" i="7"/>
  <c r="L36" i="7"/>
  <c r="N49" i="42"/>
  <c r="O49" i="42"/>
  <c r="M49" i="42"/>
  <c r="K49" i="42"/>
  <c r="L49" i="42"/>
  <c r="M49" i="40"/>
  <c r="K49" i="40"/>
  <c r="O49" i="40"/>
  <c r="L49" i="40"/>
  <c r="N49" i="40"/>
  <c r="N37" i="40"/>
  <c r="K37" i="40"/>
  <c r="O37" i="40"/>
  <c r="P37" i="40"/>
  <c r="D90" i="40"/>
  <c r="L37" i="40"/>
  <c r="L88" i="8"/>
  <c r="O50" i="45"/>
  <c r="M50" i="45"/>
  <c r="N50" i="45"/>
  <c r="L50" i="45"/>
  <c r="L49" i="47"/>
  <c r="N49" i="47"/>
  <c r="M49" i="47"/>
  <c r="K49" i="47"/>
  <c r="O49" i="47"/>
  <c r="P37" i="45"/>
  <c r="N37" i="45"/>
  <c r="O37" i="45"/>
  <c r="L37" i="45"/>
  <c r="K37" i="45"/>
  <c r="D90" i="45"/>
  <c r="K38" i="7"/>
  <c r="K86" i="7" s="1"/>
  <c r="L38" i="7"/>
  <c r="K87" i="7" s="1"/>
  <c r="N38" i="7"/>
  <c r="K89" i="7" s="1"/>
  <c r="C86" i="7"/>
  <c r="M38" i="7"/>
  <c r="K88" i="7" s="1"/>
  <c r="L88" i="9"/>
  <c r="N46" i="51"/>
  <c r="E22" i="51"/>
  <c r="K46" i="51"/>
  <c r="K51" i="51" s="1"/>
  <c r="C55" i="51" s="1"/>
  <c r="L46" i="51"/>
  <c r="M46" i="51"/>
  <c r="I15" i="53"/>
  <c r="C86" i="51"/>
  <c r="N38" i="51"/>
  <c r="K89" i="51" s="1"/>
  <c r="M38" i="51"/>
  <c r="K88" i="51" s="1"/>
  <c r="K38" i="51"/>
  <c r="K86" i="51" s="1"/>
  <c r="L38" i="51"/>
  <c r="K87" i="51" s="1"/>
  <c r="N39" i="46"/>
  <c r="K96" i="46" s="1"/>
  <c r="P39" i="46"/>
  <c r="K98" i="46" s="1"/>
  <c r="M39" i="46"/>
  <c r="K95" i="46" s="1"/>
  <c r="K39" i="46"/>
  <c r="K93" i="46" s="1"/>
  <c r="L39" i="46"/>
  <c r="K94" i="46" s="1"/>
  <c r="C93" i="46"/>
  <c r="O39" i="46"/>
  <c r="K97" i="46" s="1"/>
  <c r="O48" i="35"/>
  <c r="M48" i="35"/>
  <c r="N48" i="35"/>
  <c r="K48" i="35"/>
  <c r="L48" i="35"/>
  <c r="M48" i="34"/>
  <c r="L48" i="34"/>
  <c r="N48" i="34"/>
  <c r="K48" i="34"/>
  <c r="O48" i="34"/>
  <c r="N45" i="12"/>
  <c r="K45" i="12"/>
  <c r="M45" i="12"/>
  <c r="E21" i="12"/>
  <c r="L45" i="12"/>
  <c r="E18" i="13"/>
  <c r="N89" i="40"/>
  <c r="P37" i="36"/>
  <c r="N37" i="36"/>
  <c r="K37" i="36"/>
  <c r="L37" i="36"/>
  <c r="O37" i="36"/>
  <c r="D93" i="36"/>
  <c r="N47" i="10"/>
  <c r="M47" i="10"/>
  <c r="L47" i="10"/>
  <c r="N50" i="40"/>
  <c r="M50" i="40"/>
  <c r="O50" i="40"/>
  <c r="L50" i="40"/>
  <c r="N50" i="41"/>
  <c r="M50" i="41"/>
  <c r="O50" i="41"/>
  <c r="L50" i="41"/>
  <c r="K38" i="39"/>
  <c r="N38" i="39"/>
  <c r="O38" i="39"/>
  <c r="M38" i="39"/>
  <c r="L38" i="39"/>
  <c r="E94" i="39"/>
  <c r="P38" i="39"/>
  <c r="N48" i="50"/>
  <c r="M48" i="50"/>
  <c r="L48" i="50"/>
  <c r="M22" i="51"/>
  <c r="N37" i="51"/>
  <c r="L37" i="51"/>
  <c r="E86" i="51"/>
  <c r="M37" i="51"/>
  <c r="K37" i="51"/>
  <c r="L88" i="7"/>
  <c r="E86" i="15"/>
  <c r="L37" i="15"/>
  <c r="K37" i="15"/>
  <c r="N37" i="15"/>
  <c r="M37" i="15"/>
  <c r="M22" i="15"/>
  <c r="M47" i="7"/>
  <c r="N47" i="7"/>
  <c r="L47" i="7"/>
  <c r="K47" i="7"/>
  <c r="K51" i="7" s="1"/>
  <c r="C55" i="7" s="1"/>
  <c r="D86" i="8"/>
  <c r="K36" i="8"/>
  <c r="L86" i="8" s="1"/>
  <c r="L36" i="8"/>
  <c r="N36" i="8"/>
  <c r="M22" i="8"/>
  <c r="L50" i="46"/>
  <c r="O50" i="46"/>
  <c r="M50" i="46"/>
  <c r="N50" i="46"/>
  <c r="L49" i="45"/>
  <c r="K49" i="45"/>
  <c r="M49" i="45"/>
  <c r="O49" i="45"/>
  <c r="N49" i="45"/>
  <c r="O37" i="44"/>
  <c r="K37" i="44"/>
  <c r="L37" i="44"/>
  <c r="P37" i="44"/>
  <c r="D94" i="44"/>
  <c r="N37" i="44"/>
  <c r="N38" i="8"/>
  <c r="K89" i="8" s="1"/>
  <c r="M38" i="8"/>
  <c r="K88" i="8" s="1"/>
  <c r="C86" i="8"/>
  <c r="L38" i="8"/>
  <c r="K87" i="8" s="1"/>
  <c r="K38" i="8"/>
  <c r="K86" i="8" s="1"/>
  <c r="K45" i="49"/>
  <c r="K50" i="49" s="1"/>
  <c r="C54" i="49" s="1"/>
  <c r="N45" i="49"/>
  <c r="E21" i="49"/>
  <c r="L45" i="49"/>
  <c r="M45" i="49"/>
  <c r="E18" i="42"/>
  <c r="K47" i="15"/>
  <c r="M47" i="15"/>
  <c r="L47" i="15"/>
  <c r="N47" i="15"/>
  <c r="K46" i="52"/>
  <c r="K51" i="52" s="1"/>
  <c r="C55" i="52" s="1"/>
  <c r="M46" i="52"/>
  <c r="L46" i="52"/>
  <c r="N46" i="52"/>
  <c r="E22" i="52"/>
  <c r="I11" i="53"/>
  <c r="N37" i="49"/>
  <c r="K88" i="49" s="1"/>
  <c r="C85" i="49"/>
  <c r="M37" i="49"/>
  <c r="K87" i="49" s="1"/>
  <c r="K37" i="49"/>
  <c r="K85" i="49" s="1"/>
  <c r="L37" i="49"/>
  <c r="K86" i="49" s="1"/>
  <c r="L48" i="36"/>
  <c r="M48" i="36"/>
  <c r="N48" i="36"/>
  <c r="K48" i="36"/>
  <c r="O48" i="36"/>
  <c r="M39" i="34"/>
  <c r="K96" i="34" s="1"/>
  <c r="K39" i="34"/>
  <c r="K94" i="34" s="1"/>
  <c r="L39" i="34"/>
  <c r="K95" i="34" s="1"/>
  <c r="N39" i="34"/>
  <c r="K97" i="34" s="1"/>
  <c r="O39" i="34"/>
  <c r="K98" i="34" s="1"/>
  <c r="P39" i="34"/>
  <c r="K99" i="34" s="1"/>
  <c r="C94" i="34"/>
  <c r="N48" i="8"/>
  <c r="L48" i="8"/>
  <c r="M48" i="8"/>
  <c r="M49" i="36"/>
  <c r="N49" i="36"/>
  <c r="O49" i="36"/>
  <c r="L49" i="36"/>
  <c r="K49" i="36"/>
  <c r="O50" i="42"/>
  <c r="M50" i="42"/>
  <c r="L50" i="42"/>
  <c r="N50" i="42"/>
  <c r="K38" i="41"/>
  <c r="P38" i="41"/>
  <c r="M38" i="41"/>
  <c r="E93" i="41"/>
  <c r="O38" i="41"/>
  <c r="L38" i="41"/>
  <c r="N38" i="41"/>
  <c r="M47" i="49"/>
  <c r="L47" i="49"/>
  <c r="N47" i="49"/>
  <c r="N48" i="52"/>
  <c r="M48" i="52"/>
  <c r="L48" i="52"/>
  <c r="L37" i="12"/>
  <c r="K86" i="12" s="1"/>
  <c r="M37" i="12"/>
  <c r="K87" i="12" s="1"/>
  <c r="C85" i="12"/>
  <c r="N37" i="12"/>
  <c r="K88" i="12" s="1"/>
  <c r="K37" i="12"/>
  <c r="K85" i="12" s="1"/>
  <c r="E94" i="34"/>
  <c r="N38" i="34"/>
  <c r="K38" i="34"/>
  <c r="M38" i="34"/>
  <c r="O38" i="34"/>
  <c r="L38" i="34"/>
  <c r="P38" i="34"/>
  <c r="M46" i="10"/>
  <c r="L46" i="10"/>
  <c r="K46" i="10"/>
  <c r="N46" i="10"/>
  <c r="D86" i="9"/>
  <c r="C99" i="9" s="1"/>
  <c r="L36" i="9"/>
  <c r="M22" i="9"/>
  <c r="N36" i="9"/>
  <c r="K36" i="9"/>
  <c r="L49" i="39"/>
  <c r="M49" i="39"/>
  <c r="O49" i="39"/>
  <c r="N49" i="39"/>
  <c r="K49" i="39"/>
  <c r="O37" i="41"/>
  <c r="P37" i="41"/>
  <c r="L37" i="41"/>
  <c r="K37" i="41"/>
  <c r="D93" i="41"/>
  <c r="N37" i="41"/>
  <c r="K48" i="47"/>
  <c r="M48" i="47"/>
  <c r="N48" i="47"/>
  <c r="L48" i="47"/>
  <c r="O48" i="47"/>
  <c r="N50" i="44"/>
  <c r="L50" i="44"/>
  <c r="O50" i="44"/>
  <c r="M50" i="44"/>
  <c r="P37" i="46"/>
  <c r="K37" i="46"/>
  <c r="O37" i="46"/>
  <c r="D93" i="46"/>
  <c r="N37" i="46"/>
  <c r="L37" i="46"/>
  <c r="L38" i="9"/>
  <c r="K87" i="9" s="1"/>
  <c r="N38" i="9"/>
  <c r="K89" i="9" s="1"/>
  <c r="M38" i="9"/>
  <c r="K88" i="9" s="1"/>
  <c r="C86" i="9"/>
  <c r="K38" i="9"/>
  <c r="K86" i="9" s="1"/>
  <c r="L48" i="39"/>
  <c r="M48" i="39"/>
  <c r="O48" i="39"/>
  <c r="N48" i="39"/>
  <c r="K48" i="39"/>
  <c r="K48" i="40"/>
  <c r="M48" i="40"/>
  <c r="N48" i="40"/>
  <c r="L48" i="40"/>
  <c r="O48" i="40"/>
  <c r="K47" i="14"/>
  <c r="L47" i="14"/>
  <c r="M47" i="14"/>
  <c r="N47" i="14"/>
  <c r="E18" i="50"/>
  <c r="L38" i="52"/>
  <c r="K87" i="52" s="1"/>
  <c r="N38" i="52"/>
  <c r="K89" i="52" s="1"/>
  <c r="K38" i="52"/>
  <c r="K86" i="52" s="1"/>
  <c r="C86" i="52"/>
  <c r="M38" i="52"/>
  <c r="K88" i="52" s="1"/>
  <c r="E18" i="37"/>
  <c r="C93" i="36"/>
  <c r="P39" i="36"/>
  <c r="K98" i="36" s="1"/>
  <c r="N39" i="36"/>
  <c r="K96" i="36" s="1"/>
  <c r="L39" i="36"/>
  <c r="K94" i="36" s="1"/>
  <c r="O39" i="36"/>
  <c r="K97" i="36" s="1"/>
  <c r="K39" i="36"/>
  <c r="K93" i="36" s="1"/>
  <c r="M39" i="36"/>
  <c r="K95" i="36" s="1"/>
  <c r="N46" i="14"/>
  <c r="M46" i="14"/>
  <c r="L46" i="14"/>
  <c r="E22" i="14"/>
  <c r="K46" i="14"/>
  <c r="O37" i="34"/>
  <c r="K37" i="34"/>
  <c r="D94" i="34"/>
  <c r="L37" i="34"/>
  <c r="N37" i="34"/>
  <c r="P37" i="34"/>
  <c r="M48" i="9"/>
  <c r="L48" i="9"/>
  <c r="N48" i="9"/>
  <c r="O49" i="37"/>
  <c r="M49" i="37"/>
  <c r="N49" i="37"/>
  <c r="L49" i="37"/>
  <c r="K49" i="37"/>
  <c r="O38" i="40"/>
  <c r="P38" i="40"/>
  <c r="E90" i="40"/>
  <c r="N38" i="40"/>
  <c r="L38" i="40"/>
  <c r="K38" i="40"/>
  <c r="M38" i="40"/>
  <c r="M37" i="52"/>
  <c r="E86" i="52"/>
  <c r="L37" i="52"/>
  <c r="K37" i="52"/>
  <c r="N37" i="52"/>
  <c r="M22" i="52"/>
  <c r="N38" i="14"/>
  <c r="K89" i="14" s="1"/>
  <c r="K38" i="14"/>
  <c r="K86" i="14" s="1"/>
  <c r="L38" i="14"/>
  <c r="K87" i="14" s="1"/>
  <c r="M38" i="14"/>
  <c r="K88" i="14" s="1"/>
  <c r="C86" i="14"/>
  <c r="L36" i="12"/>
  <c r="E85" i="12"/>
  <c r="K36" i="12"/>
  <c r="M36" i="12"/>
  <c r="N36" i="12"/>
  <c r="M21" i="12"/>
  <c r="N38" i="35"/>
  <c r="E90" i="35"/>
  <c r="M38" i="35"/>
  <c r="O38" i="35"/>
  <c r="P38" i="35"/>
  <c r="K38" i="35"/>
  <c r="L38" i="35"/>
  <c r="M47" i="8"/>
  <c r="L47" i="8"/>
  <c r="N47" i="8"/>
  <c r="K47" i="8"/>
  <c r="K51" i="8" s="1"/>
  <c r="C55" i="8" s="1"/>
  <c r="K47" i="9"/>
  <c r="K51" i="9" s="1"/>
  <c r="C55" i="9" s="1"/>
  <c r="L47" i="9"/>
  <c r="N47" i="9"/>
  <c r="M47" i="9"/>
  <c r="M49" i="41"/>
  <c r="O49" i="41"/>
  <c r="N49" i="41"/>
  <c r="L49" i="41"/>
  <c r="K49" i="41"/>
  <c r="K37" i="39"/>
  <c r="L37" i="39"/>
  <c r="N37" i="39"/>
  <c r="P37" i="39"/>
  <c r="O37" i="39"/>
  <c r="D94" i="39"/>
  <c r="E22" i="7"/>
  <c r="N45" i="10"/>
  <c r="L45" i="10"/>
  <c r="E22" i="10"/>
  <c r="M45" i="10"/>
  <c r="K45" i="10"/>
  <c r="C87" i="10"/>
  <c r="F87" i="10" s="1"/>
  <c r="C88" i="10"/>
  <c r="C86" i="10"/>
  <c r="C85" i="10"/>
  <c r="E44" i="10"/>
  <c r="O50" i="47"/>
  <c r="N50" i="47"/>
  <c r="M50" i="47"/>
  <c r="L50" i="47"/>
  <c r="L49" i="46"/>
  <c r="O49" i="46"/>
  <c r="M49" i="46"/>
  <c r="K49" i="46"/>
  <c r="N49" i="46"/>
  <c r="K49" i="44"/>
  <c r="N49" i="44"/>
  <c r="L49" i="44"/>
  <c r="M49" i="44"/>
  <c r="O49" i="44"/>
  <c r="I11" i="11"/>
  <c r="K48" i="41"/>
  <c r="M48" i="41"/>
  <c r="N48" i="41"/>
  <c r="L48" i="41"/>
  <c r="O48" i="41"/>
  <c r="M46" i="12"/>
  <c r="N46" i="12"/>
  <c r="L46" i="12"/>
  <c r="K46" i="12"/>
  <c r="L47" i="13"/>
  <c r="M47" i="13"/>
  <c r="K47" i="13"/>
  <c r="N47" i="13"/>
  <c r="L39" i="44"/>
  <c r="K95" i="44" s="1"/>
  <c r="K39" i="44"/>
  <c r="K94" i="44" s="1"/>
  <c r="O39" i="44"/>
  <c r="K98" i="44" s="1"/>
  <c r="N39" i="44"/>
  <c r="K97" i="44" s="1"/>
  <c r="M39" i="44"/>
  <c r="K96" i="44" s="1"/>
  <c r="P39" i="44"/>
  <c r="K99" i="44" s="1"/>
  <c r="C94" i="44"/>
  <c r="M39" i="45"/>
  <c r="K92" i="45" s="1"/>
  <c r="K39" i="45"/>
  <c r="K90" i="45" s="1"/>
  <c r="L39" i="45"/>
  <c r="K91" i="45" s="1"/>
  <c r="P39" i="45"/>
  <c r="K95" i="45" s="1"/>
  <c r="N39" i="45"/>
  <c r="K93" i="45" s="1"/>
  <c r="C90" i="45"/>
  <c r="O39" i="45"/>
  <c r="K94" i="45" s="1"/>
  <c r="L39" i="35"/>
  <c r="K91" i="35" s="1"/>
  <c r="N39" i="35"/>
  <c r="K93" i="35" s="1"/>
  <c r="C90" i="35"/>
  <c r="K39" i="35"/>
  <c r="K90" i="35" s="1"/>
  <c r="O39" i="35"/>
  <c r="K94" i="35" s="1"/>
  <c r="P39" i="35"/>
  <c r="K95" i="35" s="1"/>
  <c r="M39" i="35"/>
  <c r="K92" i="35" s="1"/>
  <c r="L46" i="15"/>
  <c r="K46" i="15"/>
  <c r="M46" i="15"/>
  <c r="E22" i="15"/>
  <c r="N46" i="15"/>
  <c r="I15" i="16"/>
  <c r="G35" i="3"/>
  <c r="G31" i="3" s="1"/>
  <c r="G27" i="2"/>
  <c r="I35" i="3"/>
  <c r="I31" i="3" s="1"/>
  <c r="I27" i="2"/>
  <c r="F35" i="3"/>
  <c r="F27" i="2"/>
  <c r="H4" i="2"/>
  <c r="F48" i="3"/>
  <c r="F9" i="2"/>
  <c r="E35" i="3"/>
  <c r="E27" i="2"/>
  <c r="D9" i="2"/>
  <c r="E4" i="2"/>
  <c r="H9" i="2"/>
  <c r="G48" i="3"/>
  <c r="G9" i="2"/>
  <c r="D35" i="3"/>
  <c r="D27" i="2"/>
  <c r="D43" i="3"/>
  <c r="D4" i="2"/>
  <c r="G4" i="2"/>
  <c r="F4" i="2"/>
  <c r="I9" i="2"/>
  <c r="I4" i="2"/>
  <c r="E9" i="2"/>
  <c r="H35" i="3"/>
  <c r="H31" i="3" s="1"/>
  <c r="H27" i="2"/>
  <c r="J20" i="3" l="1"/>
  <c r="L51" i="51"/>
  <c r="C56" i="51" s="1"/>
  <c r="J16" i="5"/>
  <c r="J33" i="5"/>
  <c r="J12" i="3"/>
  <c r="J21" i="3" s="1"/>
  <c r="H37" i="22"/>
  <c r="H38" i="22" s="1"/>
  <c r="G7" i="23"/>
  <c r="F7" i="23"/>
  <c r="E7" i="23"/>
  <c r="E14" i="23"/>
  <c r="F31" i="3"/>
  <c r="D7" i="23"/>
  <c r="D14" i="23"/>
  <c r="D15" i="23" s="1"/>
  <c r="E31" i="3"/>
  <c r="C7" i="23"/>
  <c r="C19" i="23"/>
  <c r="C20" i="23" s="1"/>
  <c r="C14" i="23"/>
  <c r="C15" i="23" s="1"/>
  <c r="D31" i="3"/>
  <c r="B7" i="23"/>
  <c r="B19" i="23"/>
  <c r="B20" i="23" s="1"/>
  <c r="L51" i="15"/>
  <c r="C56" i="15" s="1"/>
  <c r="E87" i="15" s="1"/>
  <c r="N50" i="12"/>
  <c r="C57" i="12" s="1"/>
  <c r="F86" i="12" s="1"/>
  <c r="N51" i="51"/>
  <c r="C58" i="51" s="1"/>
  <c r="F87" i="51" s="1"/>
  <c r="L51" i="7"/>
  <c r="C56" i="7" s="1"/>
  <c r="E87" i="7" s="1"/>
  <c r="K50" i="10"/>
  <c r="C54" i="10" s="1"/>
  <c r="D80" i="10" s="1"/>
  <c r="L99" i="39"/>
  <c r="M51" i="51"/>
  <c r="C57" i="51" s="1"/>
  <c r="C87" i="51" s="1"/>
  <c r="M51" i="7"/>
  <c r="C57" i="7" s="1"/>
  <c r="C87" i="7" s="1"/>
  <c r="N51" i="15"/>
  <c r="C58" i="15" s="1"/>
  <c r="F87" i="15" s="1"/>
  <c r="N51" i="7"/>
  <c r="C58" i="7" s="1"/>
  <c r="F87" i="7" s="1"/>
  <c r="M41" i="7"/>
  <c r="C47" i="7" s="1"/>
  <c r="N51" i="8"/>
  <c r="C58" i="8" s="1"/>
  <c r="F87" i="8" s="1"/>
  <c r="M51" i="14"/>
  <c r="C57" i="14" s="1"/>
  <c r="C87" i="14" s="1"/>
  <c r="L51" i="9"/>
  <c r="C56" i="9" s="1"/>
  <c r="E87" i="9" s="1"/>
  <c r="L51" i="8"/>
  <c r="C56" i="8" s="1"/>
  <c r="E87" i="8" s="1"/>
  <c r="N51" i="9"/>
  <c r="C58" i="9" s="1"/>
  <c r="F87" i="9" s="1"/>
  <c r="M50" i="10"/>
  <c r="C56" i="10" s="1"/>
  <c r="C80" i="10" s="1"/>
  <c r="K51" i="15"/>
  <c r="C55" i="15" s="1"/>
  <c r="D87" i="15" s="1"/>
  <c r="N50" i="10"/>
  <c r="C57" i="10" s="1"/>
  <c r="F80" i="10" s="1"/>
  <c r="M51" i="8"/>
  <c r="C57" i="8" s="1"/>
  <c r="C87" i="8" s="1"/>
  <c r="L51" i="14"/>
  <c r="C56" i="14" s="1"/>
  <c r="E87" i="14" s="1"/>
  <c r="M51" i="9"/>
  <c r="C57" i="9" s="1"/>
  <c r="M51" i="15"/>
  <c r="C57" i="15" s="1"/>
  <c r="C87" i="15" s="1"/>
  <c r="K51" i="14"/>
  <c r="C55" i="14" s="1"/>
  <c r="D87" i="14" s="1"/>
  <c r="L50" i="10"/>
  <c r="C55" i="10" s="1"/>
  <c r="E80" i="10" s="1"/>
  <c r="N89" i="45"/>
  <c r="D87" i="9"/>
  <c r="D87" i="8"/>
  <c r="I44" i="3"/>
  <c r="I39" i="3"/>
  <c r="D39" i="3"/>
  <c r="E39" i="3"/>
  <c r="H39" i="3"/>
  <c r="C90" i="10"/>
  <c r="F85" i="10"/>
  <c r="E85" i="10"/>
  <c r="L85" i="12"/>
  <c r="K40" i="12"/>
  <c r="C44" i="12" s="1"/>
  <c r="L87" i="52"/>
  <c r="L41" i="52"/>
  <c r="C46" i="52" s="1"/>
  <c r="L99" i="34"/>
  <c r="P43" i="34"/>
  <c r="C52" i="34" s="1"/>
  <c r="N51" i="14"/>
  <c r="C58" i="14" s="1"/>
  <c r="F87" i="14" s="1"/>
  <c r="L48" i="37"/>
  <c r="K48" i="37"/>
  <c r="M48" i="37"/>
  <c r="O48" i="37"/>
  <c r="N48" i="37"/>
  <c r="K46" i="50"/>
  <c r="K51" i="50" s="1"/>
  <c r="C55" i="50" s="1"/>
  <c r="M46" i="50"/>
  <c r="M51" i="50" s="1"/>
  <c r="C57" i="50" s="1"/>
  <c r="C81" i="50" s="1"/>
  <c r="N46" i="50"/>
  <c r="N51" i="50" s="1"/>
  <c r="C58" i="50" s="1"/>
  <c r="F81" i="50" s="1"/>
  <c r="L46" i="50"/>
  <c r="L51" i="50" s="1"/>
  <c r="C56" i="50" s="1"/>
  <c r="E81" i="50" s="1"/>
  <c r="E23" i="50"/>
  <c r="C87" i="50"/>
  <c r="C88" i="50"/>
  <c r="C86" i="50"/>
  <c r="E86" i="50" s="1"/>
  <c r="C89" i="50"/>
  <c r="E45" i="50"/>
  <c r="D87" i="52"/>
  <c r="L41" i="8"/>
  <c r="C46" i="8" s="1"/>
  <c r="L87" i="8"/>
  <c r="L86" i="15"/>
  <c r="K41" i="15"/>
  <c r="C45" i="15" s="1"/>
  <c r="M41" i="51"/>
  <c r="C47" i="51" s="1"/>
  <c r="L88" i="51"/>
  <c r="N46" i="13"/>
  <c r="N51" i="13" s="1"/>
  <c r="C58" i="13" s="1"/>
  <c r="F81" i="13" s="1"/>
  <c r="M46" i="13"/>
  <c r="M51" i="13" s="1"/>
  <c r="C57" i="13" s="1"/>
  <c r="C81" i="13" s="1"/>
  <c r="L46" i="13"/>
  <c r="L51" i="13" s="1"/>
  <c r="C56" i="13" s="1"/>
  <c r="E81" i="13" s="1"/>
  <c r="E23" i="13"/>
  <c r="K46" i="13"/>
  <c r="K51" i="13" s="1"/>
  <c r="C55" i="13" s="1"/>
  <c r="C89" i="13"/>
  <c r="C86" i="13"/>
  <c r="C87" i="13"/>
  <c r="C88" i="13"/>
  <c r="E45" i="13"/>
  <c r="M41" i="9"/>
  <c r="C47" i="9" s="1"/>
  <c r="N41" i="7"/>
  <c r="C48" i="7" s="1"/>
  <c r="L89" i="7"/>
  <c r="N41" i="14"/>
  <c r="C48" i="14" s="1"/>
  <c r="L89" i="14"/>
  <c r="C92" i="49"/>
  <c r="C93" i="49"/>
  <c r="C91" i="49"/>
  <c r="C98" i="49"/>
  <c r="C94" i="49"/>
  <c r="E94" i="49" s="1"/>
  <c r="G94" i="49" s="1"/>
  <c r="L85" i="49"/>
  <c r="K40" i="49"/>
  <c r="C44" i="49" s="1"/>
  <c r="G39" i="3"/>
  <c r="H44" i="3"/>
  <c r="F44" i="3"/>
  <c r="E86" i="10"/>
  <c r="G86" i="10" s="1"/>
  <c r="F86" i="10"/>
  <c r="C91" i="12"/>
  <c r="C93" i="12"/>
  <c r="C92" i="12"/>
  <c r="C94" i="12"/>
  <c r="C98" i="12"/>
  <c r="C94" i="52"/>
  <c r="C99" i="52"/>
  <c r="C92" i="52"/>
  <c r="C93" i="52"/>
  <c r="C95" i="52"/>
  <c r="L98" i="41"/>
  <c r="P43" i="41"/>
  <c r="C52" i="41" s="1"/>
  <c r="L87" i="9"/>
  <c r="L41" i="9"/>
  <c r="C46" i="9" s="1"/>
  <c r="N51" i="52"/>
  <c r="C58" i="52" s="1"/>
  <c r="F87" i="52" s="1"/>
  <c r="N50" i="49"/>
  <c r="C57" i="49" s="1"/>
  <c r="L99" i="44"/>
  <c r="P43" i="44"/>
  <c r="C52" i="44" s="1"/>
  <c r="K41" i="8"/>
  <c r="C45" i="8" s="1"/>
  <c r="L87" i="15"/>
  <c r="L41" i="15"/>
  <c r="C46" i="15" s="1"/>
  <c r="C93" i="51"/>
  <c r="E93" i="51" s="1"/>
  <c r="G93" i="51" s="1"/>
  <c r="C95" i="51"/>
  <c r="C99" i="51"/>
  <c r="C92" i="51"/>
  <c r="C94" i="51"/>
  <c r="E87" i="10"/>
  <c r="G87" i="10" s="1"/>
  <c r="M50" i="12"/>
  <c r="C56" i="12" s="1"/>
  <c r="C86" i="12" s="1"/>
  <c r="L95" i="45"/>
  <c r="P43" i="45"/>
  <c r="C52" i="45" s="1"/>
  <c r="L41" i="7"/>
  <c r="C46" i="7" s="1"/>
  <c r="L87" i="7"/>
  <c r="L86" i="7"/>
  <c r="K41" i="7"/>
  <c r="C45" i="7" s="1"/>
  <c r="K41" i="14"/>
  <c r="C45" i="14" s="1"/>
  <c r="L86" i="14"/>
  <c r="L88" i="14"/>
  <c r="M41" i="14"/>
  <c r="C47" i="14" s="1"/>
  <c r="E44" i="3"/>
  <c r="D44" i="3"/>
  <c r="B15" i="23"/>
  <c r="N89" i="35"/>
  <c r="E88" i="10"/>
  <c r="G88" i="10" s="1"/>
  <c r="F88" i="10"/>
  <c r="N40" i="12"/>
  <c r="C47" i="12" s="1"/>
  <c r="L88" i="12"/>
  <c r="L86" i="12"/>
  <c r="L40" i="12"/>
  <c r="C45" i="12" s="1"/>
  <c r="N41" i="52"/>
  <c r="C48" i="52" s="1"/>
  <c r="L89" i="52"/>
  <c r="L88" i="52"/>
  <c r="M41" i="52"/>
  <c r="C47" i="52" s="1"/>
  <c r="P43" i="46"/>
  <c r="C52" i="46" s="1"/>
  <c r="L98" i="46"/>
  <c r="L86" i="9"/>
  <c r="K41" i="9"/>
  <c r="C45" i="9" s="1"/>
  <c r="C93" i="9"/>
  <c r="C94" i="9"/>
  <c r="C92" i="9"/>
  <c r="C95" i="9"/>
  <c r="L51" i="52"/>
  <c r="C56" i="52" s="1"/>
  <c r="L48" i="42"/>
  <c r="M48" i="42"/>
  <c r="N48" i="42"/>
  <c r="K48" i="42"/>
  <c r="O48" i="42"/>
  <c r="M50" i="49"/>
  <c r="C56" i="49" s="1"/>
  <c r="D86" i="49"/>
  <c r="C93" i="8"/>
  <c r="E93" i="8" s="1"/>
  <c r="G93" i="8" s="1"/>
  <c r="C95" i="8"/>
  <c r="E95" i="8" s="1"/>
  <c r="G95" i="8" s="1"/>
  <c r="C92" i="8"/>
  <c r="C99" i="8"/>
  <c r="C94" i="8"/>
  <c r="E94" i="8" s="1"/>
  <c r="G94" i="8" s="1"/>
  <c r="L88" i="15"/>
  <c r="M41" i="15"/>
  <c r="C47" i="15" s="1"/>
  <c r="C94" i="15"/>
  <c r="E94" i="15" s="1"/>
  <c r="G94" i="15" s="1"/>
  <c r="C99" i="15"/>
  <c r="C95" i="15"/>
  <c r="C93" i="15"/>
  <c r="E93" i="15" s="1"/>
  <c r="G93" i="15" s="1"/>
  <c r="C92" i="15"/>
  <c r="L41" i="51"/>
  <c r="C46" i="51" s="1"/>
  <c r="L87" i="51"/>
  <c r="P43" i="39"/>
  <c r="C52" i="39" s="1"/>
  <c r="K50" i="12"/>
  <c r="C54" i="12" s="1"/>
  <c r="E87" i="51"/>
  <c r="L87" i="14"/>
  <c r="L41" i="14"/>
  <c r="C46" i="14" s="1"/>
  <c r="L88" i="49"/>
  <c r="N40" i="49"/>
  <c r="C47" i="49" s="1"/>
  <c r="L95" i="35"/>
  <c r="P43" i="35"/>
  <c r="C52" i="35" s="1"/>
  <c r="F39" i="3"/>
  <c r="D20" i="23"/>
  <c r="G44" i="3"/>
  <c r="L87" i="12"/>
  <c r="M40" i="12"/>
  <c r="C46" i="12" s="1"/>
  <c r="L86" i="52"/>
  <c r="K41" i="52"/>
  <c r="C45" i="52" s="1"/>
  <c r="D87" i="7"/>
  <c r="N41" i="9"/>
  <c r="C48" i="9" s="1"/>
  <c r="L89" i="9"/>
  <c r="M51" i="52"/>
  <c r="C57" i="52" s="1"/>
  <c r="C87" i="52" s="1"/>
  <c r="L50" i="49"/>
  <c r="C55" i="49" s="1"/>
  <c r="L89" i="8"/>
  <c r="N41" i="8"/>
  <c r="C48" i="8" s="1"/>
  <c r="L89" i="15"/>
  <c r="N41" i="15"/>
  <c r="C48" i="15" s="1"/>
  <c r="K41" i="51"/>
  <c r="C45" i="51" s="1"/>
  <c r="L86" i="51"/>
  <c r="L89" i="51"/>
  <c r="N41" i="51"/>
  <c r="C48" i="51" s="1"/>
  <c r="L98" i="36"/>
  <c r="P43" i="36"/>
  <c r="C52" i="36" s="1"/>
  <c r="L50" i="12"/>
  <c r="C55" i="12" s="1"/>
  <c r="E86" i="12" s="1"/>
  <c r="D87" i="51"/>
  <c r="M41" i="8"/>
  <c r="C47" i="8" s="1"/>
  <c r="L95" i="40"/>
  <c r="P43" i="40"/>
  <c r="C52" i="40" s="1"/>
  <c r="C94" i="7"/>
  <c r="C99" i="7"/>
  <c r="C93" i="7"/>
  <c r="C95" i="7"/>
  <c r="C92" i="7"/>
  <c r="C94" i="14"/>
  <c r="C99" i="14"/>
  <c r="C93" i="14"/>
  <c r="C95" i="14"/>
  <c r="C92" i="14"/>
  <c r="L87" i="49"/>
  <c r="M40" i="49"/>
  <c r="C46" i="49" s="1"/>
  <c r="L40" i="49"/>
  <c r="C45" i="49" s="1"/>
  <c r="L86" i="49"/>
  <c r="K6" i="4" l="1"/>
  <c r="K7" i="4"/>
  <c r="D104" i="51"/>
  <c r="L5" i="38"/>
  <c r="F93" i="51"/>
  <c r="D107" i="15"/>
  <c r="I17" i="3"/>
  <c r="D104" i="52"/>
  <c r="E55" i="51"/>
  <c r="E55" i="7"/>
  <c r="H57" i="7" s="1"/>
  <c r="C76" i="7" s="1"/>
  <c r="D104" i="15"/>
  <c r="D107" i="8"/>
  <c r="D104" i="8"/>
  <c r="D104" i="7"/>
  <c r="D107" i="14"/>
  <c r="D107" i="9"/>
  <c r="D97" i="10"/>
  <c r="E55" i="9"/>
  <c r="F94" i="49"/>
  <c r="E55" i="15"/>
  <c r="F95" i="8"/>
  <c r="E55" i="8"/>
  <c r="D98" i="13"/>
  <c r="D98" i="50"/>
  <c r="E54" i="10"/>
  <c r="C87" i="9"/>
  <c r="D104" i="9" s="1"/>
  <c r="E45" i="52"/>
  <c r="D103" i="12"/>
  <c r="D104" i="14"/>
  <c r="D100" i="10"/>
  <c r="E45" i="51"/>
  <c r="F94" i="15"/>
  <c r="E45" i="7"/>
  <c r="H45" i="7" s="1"/>
  <c r="C63" i="7" s="1"/>
  <c r="E55" i="52"/>
  <c r="E45" i="9"/>
  <c r="G86" i="50"/>
  <c r="E95" i="15"/>
  <c r="G95" i="15" s="1"/>
  <c r="F95" i="15"/>
  <c r="E95" i="9"/>
  <c r="G95" i="9" s="1"/>
  <c r="F95" i="9"/>
  <c r="F95" i="51"/>
  <c r="E95" i="51"/>
  <c r="G95" i="51" s="1"/>
  <c r="E45" i="8"/>
  <c r="E87" i="52"/>
  <c r="D107" i="52" s="1"/>
  <c r="F93" i="12"/>
  <c r="E93" i="12"/>
  <c r="G93" i="12" s="1"/>
  <c r="E86" i="49"/>
  <c r="D106" i="49" s="1"/>
  <c r="F94" i="8"/>
  <c r="F89" i="13"/>
  <c r="E89" i="13"/>
  <c r="G89" i="13" s="1"/>
  <c r="E45" i="15"/>
  <c r="E89" i="50"/>
  <c r="G89" i="50" s="1"/>
  <c r="F89" i="50"/>
  <c r="G85" i="10"/>
  <c r="G90" i="10" s="1"/>
  <c r="D96" i="10" s="1"/>
  <c r="E90" i="10"/>
  <c r="F92" i="7"/>
  <c r="C97" i="7"/>
  <c r="E92" i="7"/>
  <c r="F94" i="7"/>
  <c r="E94" i="7"/>
  <c r="G94" i="7" s="1"/>
  <c r="M22" i="37"/>
  <c r="I6" i="38"/>
  <c r="I7" i="38" s="1"/>
  <c r="G8" i="23"/>
  <c r="M22" i="39"/>
  <c r="I12" i="43"/>
  <c r="I13" i="43" s="1"/>
  <c r="M22" i="41"/>
  <c r="M22" i="40"/>
  <c r="E15" i="23"/>
  <c r="I6" i="48"/>
  <c r="I7" i="48" s="1"/>
  <c r="M22" i="47"/>
  <c r="F8" i="23"/>
  <c r="D107" i="51"/>
  <c r="D86" i="12"/>
  <c r="D106" i="12" s="1"/>
  <c r="E54" i="12"/>
  <c r="H54" i="12" s="1"/>
  <c r="C73" i="12" s="1"/>
  <c r="C86" i="49"/>
  <c r="F92" i="9"/>
  <c r="C97" i="9"/>
  <c r="E92" i="9"/>
  <c r="F94" i="51"/>
  <c r="E94" i="51"/>
  <c r="G94" i="51" s="1"/>
  <c r="F92" i="52"/>
  <c r="C97" i="52"/>
  <c r="E92" i="52"/>
  <c r="F91" i="12"/>
  <c r="C96" i="12"/>
  <c r="E91" i="12"/>
  <c r="I6" i="43"/>
  <c r="I7" i="43" s="1"/>
  <c r="M22" i="42"/>
  <c r="E8" i="23"/>
  <c r="E22" i="40"/>
  <c r="E22" i="41"/>
  <c r="E22" i="39"/>
  <c r="I17" i="43"/>
  <c r="I18" i="43" s="1"/>
  <c r="E20" i="23"/>
  <c r="F93" i="49"/>
  <c r="E93" i="49"/>
  <c r="G93" i="49" s="1"/>
  <c r="F88" i="13"/>
  <c r="E88" i="13"/>
  <c r="G88" i="13" s="1"/>
  <c r="E55" i="13"/>
  <c r="D81" i="13"/>
  <c r="D101" i="13" s="1"/>
  <c r="F92" i="15"/>
  <c r="F86" i="50"/>
  <c r="C91" i="50"/>
  <c r="E55" i="50"/>
  <c r="D81" i="50"/>
  <c r="D101" i="50" s="1"/>
  <c r="F90" i="10"/>
  <c r="D99" i="10" s="1"/>
  <c r="E22" i="35"/>
  <c r="E22" i="36"/>
  <c r="E22" i="34"/>
  <c r="I17" i="38"/>
  <c r="I18" i="38" s="1"/>
  <c r="G20" i="23"/>
  <c r="F93" i="14"/>
  <c r="E93" i="14"/>
  <c r="G93" i="14" s="1"/>
  <c r="F92" i="14"/>
  <c r="C97" i="14"/>
  <c r="E92" i="14"/>
  <c r="F94" i="14"/>
  <c r="E94" i="14"/>
  <c r="G94" i="14" s="1"/>
  <c r="E95" i="7"/>
  <c r="G95" i="7" s="1"/>
  <c r="F95" i="7"/>
  <c r="D107" i="7"/>
  <c r="C97" i="15"/>
  <c r="E92" i="15"/>
  <c r="E94" i="9"/>
  <c r="G94" i="9" s="1"/>
  <c r="F94" i="9"/>
  <c r="J8" i="23"/>
  <c r="B8" i="23"/>
  <c r="C97" i="51"/>
  <c r="F92" i="51"/>
  <c r="E92" i="51"/>
  <c r="F86" i="49"/>
  <c r="F95" i="52"/>
  <c r="E95" i="52"/>
  <c r="G95" i="52" s="1"/>
  <c r="F94" i="12"/>
  <c r="E94" i="12"/>
  <c r="G94" i="12" s="1"/>
  <c r="E92" i="49"/>
  <c r="G92" i="49" s="1"/>
  <c r="F92" i="49"/>
  <c r="E87" i="13"/>
  <c r="G87" i="13" s="1"/>
  <c r="F87" i="13"/>
  <c r="F93" i="8"/>
  <c r="F88" i="50"/>
  <c r="E88" i="50"/>
  <c r="G88" i="50" s="1"/>
  <c r="E55" i="14"/>
  <c r="E95" i="14"/>
  <c r="G95" i="14" s="1"/>
  <c r="F95" i="14"/>
  <c r="F93" i="7"/>
  <c r="E93" i="7"/>
  <c r="G93" i="7" s="1"/>
  <c r="K8" i="23"/>
  <c r="C8" i="23"/>
  <c r="C97" i="8"/>
  <c r="F92" i="8"/>
  <c r="E92" i="8"/>
  <c r="E54" i="49"/>
  <c r="H54" i="49" s="1"/>
  <c r="C73" i="49" s="1"/>
  <c r="E93" i="9"/>
  <c r="G93" i="9" s="1"/>
  <c r="F93" i="9"/>
  <c r="E45" i="14"/>
  <c r="F93" i="15"/>
  <c r="F93" i="52"/>
  <c r="E93" i="52"/>
  <c r="G93" i="52" s="1"/>
  <c r="F94" i="52"/>
  <c r="E94" i="52"/>
  <c r="G94" i="52" s="1"/>
  <c r="F92" i="12"/>
  <c r="E92" i="12"/>
  <c r="G92" i="12" s="1"/>
  <c r="L8" i="23"/>
  <c r="D8" i="23"/>
  <c r="M22" i="45"/>
  <c r="M22" i="46"/>
  <c r="M22" i="44"/>
  <c r="I12" i="48"/>
  <c r="I13" i="48" s="1"/>
  <c r="F15" i="23"/>
  <c r="E44" i="49"/>
  <c r="H46" i="49" s="1"/>
  <c r="C64" i="49" s="1"/>
  <c r="C96" i="49"/>
  <c r="F91" i="49"/>
  <c r="E91" i="49"/>
  <c r="E86" i="13"/>
  <c r="F86" i="13"/>
  <c r="C91" i="13"/>
  <c r="F87" i="50"/>
  <c r="E87" i="50"/>
  <c r="G87" i="50" s="1"/>
  <c r="E44" i="12"/>
  <c r="H45" i="12" s="1"/>
  <c r="C63" i="12" s="1"/>
  <c r="E22" i="46"/>
  <c r="E22" i="45"/>
  <c r="E22" i="44"/>
  <c r="I17" i="48"/>
  <c r="I18" i="48" s="1"/>
  <c r="F20" i="23"/>
  <c r="M22" i="36"/>
  <c r="I12" i="38"/>
  <c r="I13" i="38" s="1"/>
  <c r="M22" i="34"/>
  <c r="M22" i="35"/>
  <c r="G15" i="23"/>
  <c r="E17" i="3"/>
  <c r="J15" i="5" l="1"/>
  <c r="J32" i="5"/>
  <c r="J30" i="5"/>
  <c r="J31" i="5"/>
  <c r="J14" i="5"/>
  <c r="J13" i="5"/>
  <c r="G19" i="22"/>
  <c r="G30" i="22" s="1"/>
  <c r="F19" i="22"/>
  <c r="H56" i="7"/>
  <c r="C75" i="7" s="1"/>
  <c r="H58" i="7"/>
  <c r="C77" i="7" s="1"/>
  <c r="H55" i="7"/>
  <c r="C74" i="7" s="1"/>
  <c r="D98" i="10"/>
  <c r="F96" i="49"/>
  <c r="D105" i="49" s="1"/>
  <c r="D107" i="49" s="1"/>
  <c r="D101" i="10"/>
  <c r="F91" i="13"/>
  <c r="D100" i="13" s="1"/>
  <c r="D102" i="13" s="1"/>
  <c r="H46" i="7"/>
  <c r="C64" i="7" s="1"/>
  <c r="F97" i="8"/>
  <c r="D106" i="8" s="1"/>
  <c r="D108" i="8" s="1"/>
  <c r="H55" i="12"/>
  <c r="C74" i="12" s="1"/>
  <c r="H48" i="7"/>
  <c r="C66" i="7" s="1"/>
  <c r="H47" i="7"/>
  <c r="C65" i="7" s="1"/>
  <c r="F97" i="51"/>
  <c r="D106" i="51" s="1"/>
  <c r="D108" i="51" s="1"/>
  <c r="O41" i="36"/>
  <c r="N41" i="36"/>
  <c r="M41" i="36"/>
  <c r="K41" i="36"/>
  <c r="L41" i="36"/>
  <c r="G93" i="36"/>
  <c r="M24" i="36"/>
  <c r="N52" i="45"/>
  <c r="N55" i="45" s="1"/>
  <c r="C62" i="45" s="1"/>
  <c r="F91" i="45" s="1"/>
  <c r="M52" i="45"/>
  <c r="M55" i="45" s="1"/>
  <c r="C61" i="45" s="1"/>
  <c r="C91" i="45" s="1"/>
  <c r="O52" i="45"/>
  <c r="O55" i="45" s="1"/>
  <c r="C63" i="45" s="1"/>
  <c r="K52" i="45"/>
  <c r="K55" i="45" s="1"/>
  <c r="C59" i="45" s="1"/>
  <c r="L52" i="45"/>
  <c r="L55" i="45" s="1"/>
  <c r="C60" i="45" s="1"/>
  <c r="E91" i="45" s="1"/>
  <c r="E24" i="45"/>
  <c r="H44" i="49"/>
  <c r="C62" i="49" s="1"/>
  <c r="G94" i="44"/>
  <c r="K41" i="44"/>
  <c r="M41" i="44"/>
  <c r="N41" i="44"/>
  <c r="L41" i="44"/>
  <c r="O41" i="44"/>
  <c r="M24" i="44"/>
  <c r="E97" i="8"/>
  <c r="G92" i="8"/>
  <c r="G97" i="8" s="1"/>
  <c r="D103" i="8" s="1"/>
  <c r="D105" i="8" s="1"/>
  <c r="H57" i="49"/>
  <c r="C76" i="49" s="1"/>
  <c r="F97" i="14"/>
  <c r="D106" i="14" s="1"/>
  <c r="D108" i="14" s="1"/>
  <c r="O52" i="36"/>
  <c r="O55" i="36" s="1"/>
  <c r="C63" i="36" s="1"/>
  <c r="N52" i="36"/>
  <c r="N55" i="36" s="1"/>
  <c r="C62" i="36" s="1"/>
  <c r="F94" i="36" s="1"/>
  <c r="M52" i="36"/>
  <c r="M55" i="36" s="1"/>
  <c r="C61" i="36" s="1"/>
  <c r="C94" i="36" s="1"/>
  <c r="K52" i="36"/>
  <c r="K55" i="36" s="1"/>
  <c r="C59" i="36" s="1"/>
  <c r="L52" i="36"/>
  <c r="L55" i="36" s="1"/>
  <c r="C60" i="36" s="1"/>
  <c r="E94" i="36" s="1"/>
  <c r="E24" i="36"/>
  <c r="F97" i="15"/>
  <c r="D106" i="15" s="1"/>
  <c r="D108" i="15" s="1"/>
  <c r="G91" i="12"/>
  <c r="G96" i="12" s="1"/>
  <c r="D102" i="12" s="1"/>
  <c r="D104" i="12" s="1"/>
  <c r="E96" i="12"/>
  <c r="G92" i="9"/>
  <c r="G97" i="9" s="1"/>
  <c r="D103" i="9" s="1"/>
  <c r="D105" i="9" s="1"/>
  <c r="E97" i="9"/>
  <c r="H56" i="49"/>
  <c r="C75" i="49" s="1"/>
  <c r="E22" i="47"/>
  <c r="N8" i="23"/>
  <c r="G90" i="40"/>
  <c r="N41" i="40"/>
  <c r="L41" i="40"/>
  <c r="K41" i="40"/>
  <c r="M41" i="40"/>
  <c r="O41" i="40"/>
  <c r="M24" i="40"/>
  <c r="H46" i="12"/>
  <c r="C64" i="12" s="1"/>
  <c r="H55" i="49"/>
  <c r="C74" i="49" s="1"/>
  <c r="O41" i="35"/>
  <c r="N41" i="35"/>
  <c r="G90" i="35"/>
  <c r="M41" i="35"/>
  <c r="K41" i="35"/>
  <c r="L41" i="35"/>
  <c r="M24" i="35"/>
  <c r="N52" i="46"/>
  <c r="N55" i="46" s="1"/>
  <c r="C62" i="46" s="1"/>
  <c r="F94" i="46" s="1"/>
  <c r="K52" i="46"/>
  <c r="K55" i="46" s="1"/>
  <c r="C59" i="46" s="1"/>
  <c r="M52" i="46"/>
  <c r="M55" i="46" s="1"/>
  <c r="C61" i="46" s="1"/>
  <c r="C94" i="46" s="1"/>
  <c r="O52" i="46"/>
  <c r="O55" i="46" s="1"/>
  <c r="C63" i="46" s="1"/>
  <c r="L52" i="46"/>
  <c r="L55" i="46" s="1"/>
  <c r="C60" i="46" s="1"/>
  <c r="E94" i="46" s="1"/>
  <c r="E24" i="46"/>
  <c r="E96" i="49"/>
  <c r="G91" i="49"/>
  <c r="G96" i="49" s="1"/>
  <c r="D102" i="49" s="1"/>
  <c r="G93" i="46"/>
  <c r="N41" i="46"/>
  <c r="O41" i="46"/>
  <c r="L41" i="46"/>
  <c r="M41" i="46"/>
  <c r="K41" i="46"/>
  <c r="M24" i="46"/>
  <c r="K52" i="35"/>
  <c r="K55" i="35" s="1"/>
  <c r="C59" i="35" s="1"/>
  <c r="L52" i="35"/>
  <c r="L55" i="35" s="1"/>
  <c r="C60" i="35" s="1"/>
  <c r="E91" i="35" s="1"/>
  <c r="M52" i="35"/>
  <c r="M55" i="35" s="1"/>
  <c r="C61" i="35" s="1"/>
  <c r="C91" i="35" s="1"/>
  <c r="N52" i="35"/>
  <c r="N55" i="35" s="1"/>
  <c r="C62" i="35" s="1"/>
  <c r="F91" i="35" s="1"/>
  <c r="O52" i="35"/>
  <c r="O55" i="35" s="1"/>
  <c r="C63" i="35" s="1"/>
  <c r="G91" i="35" s="1"/>
  <c r="E24" i="35"/>
  <c r="L52" i="39"/>
  <c r="L55" i="39" s="1"/>
  <c r="C60" i="39" s="1"/>
  <c r="N52" i="39"/>
  <c r="N55" i="39" s="1"/>
  <c r="C62" i="39" s="1"/>
  <c r="O52" i="39"/>
  <c r="O55" i="39" s="1"/>
  <c r="C63" i="39" s="1"/>
  <c r="K52" i="39"/>
  <c r="K55" i="39" s="1"/>
  <c r="C59" i="39" s="1"/>
  <c r="M52" i="39"/>
  <c r="M55" i="39" s="1"/>
  <c r="C61" i="39" s="1"/>
  <c r="E24" i="39"/>
  <c r="G85" i="42"/>
  <c r="L41" i="42"/>
  <c r="N41" i="42"/>
  <c r="K41" i="42"/>
  <c r="M41" i="42"/>
  <c r="O41" i="42"/>
  <c r="M24" i="42"/>
  <c r="F97" i="52"/>
  <c r="D106" i="52" s="1"/>
  <c r="D108" i="52" s="1"/>
  <c r="D103" i="49"/>
  <c r="K41" i="47"/>
  <c r="L41" i="47"/>
  <c r="N41" i="47"/>
  <c r="G85" i="47"/>
  <c r="O41" i="47"/>
  <c r="M41" i="47"/>
  <c r="M24" i="47"/>
  <c r="O41" i="41"/>
  <c r="L41" i="41"/>
  <c r="K41" i="41"/>
  <c r="G93" i="41"/>
  <c r="N41" i="41"/>
  <c r="M41" i="41"/>
  <c r="M24" i="41"/>
  <c r="F97" i="7"/>
  <c r="D106" i="7" s="1"/>
  <c r="D108" i="7" s="1"/>
  <c r="E91" i="50"/>
  <c r="L41" i="34"/>
  <c r="N41" i="34"/>
  <c r="G94" i="34"/>
  <c r="O41" i="34"/>
  <c r="M41" i="34"/>
  <c r="K41" i="34"/>
  <c r="M24" i="34"/>
  <c r="H44" i="12"/>
  <c r="C62" i="12" s="1"/>
  <c r="N41" i="45"/>
  <c r="O41" i="45"/>
  <c r="L41" i="45"/>
  <c r="G90" i="45"/>
  <c r="M41" i="45"/>
  <c r="K41" i="45"/>
  <c r="M24" i="45"/>
  <c r="H47" i="12"/>
  <c r="C65" i="12" s="1"/>
  <c r="H45" i="49"/>
  <c r="C63" i="49" s="1"/>
  <c r="E97" i="51"/>
  <c r="G92" i="51"/>
  <c r="G97" i="51" s="1"/>
  <c r="D103" i="51" s="1"/>
  <c r="D105" i="51" s="1"/>
  <c r="G92" i="15"/>
  <c r="G97" i="15" s="1"/>
  <c r="D103" i="15" s="1"/>
  <c r="D105" i="15" s="1"/>
  <c r="E97" i="15"/>
  <c r="G92" i="14"/>
  <c r="G97" i="14" s="1"/>
  <c r="D103" i="14" s="1"/>
  <c r="D105" i="14" s="1"/>
  <c r="E97" i="14"/>
  <c r="N52" i="41"/>
  <c r="N55" i="41" s="1"/>
  <c r="C62" i="41" s="1"/>
  <c r="F94" i="41" s="1"/>
  <c r="O52" i="41"/>
  <c r="O55" i="41" s="1"/>
  <c r="C63" i="41" s="1"/>
  <c r="K52" i="41"/>
  <c r="K55" i="41" s="1"/>
  <c r="C59" i="41" s="1"/>
  <c r="M52" i="41"/>
  <c r="M55" i="41" s="1"/>
  <c r="C61" i="41" s="1"/>
  <c r="C94" i="41" s="1"/>
  <c r="L52" i="41"/>
  <c r="L55" i="41" s="1"/>
  <c r="C60" i="41" s="1"/>
  <c r="E94" i="41" s="1"/>
  <c r="E24" i="41"/>
  <c r="E22" i="42"/>
  <c r="M8" i="23"/>
  <c r="F96" i="12"/>
  <c r="D105" i="12" s="1"/>
  <c r="D107" i="12" s="1"/>
  <c r="F97" i="9"/>
  <c r="D106" i="9" s="1"/>
  <c r="D108" i="9" s="1"/>
  <c r="H47" i="49"/>
  <c r="C65" i="49" s="1"/>
  <c r="M41" i="37"/>
  <c r="O41" i="37"/>
  <c r="L41" i="37"/>
  <c r="N41" i="37"/>
  <c r="K41" i="37"/>
  <c r="G85" i="37"/>
  <c r="M24" i="37"/>
  <c r="G91" i="50"/>
  <c r="D97" i="50" s="1"/>
  <c r="D99" i="50" s="1"/>
  <c r="O52" i="44"/>
  <c r="O55" i="44" s="1"/>
  <c r="C63" i="44" s="1"/>
  <c r="K52" i="44"/>
  <c r="K55" i="44" s="1"/>
  <c r="C59" i="44" s="1"/>
  <c r="M52" i="44"/>
  <c r="M55" i="44" s="1"/>
  <c r="C61" i="44" s="1"/>
  <c r="L52" i="44"/>
  <c r="L55" i="44" s="1"/>
  <c r="C60" i="44" s="1"/>
  <c r="N52" i="44"/>
  <c r="N55" i="44" s="1"/>
  <c r="C62" i="44" s="1"/>
  <c r="E24" i="44"/>
  <c r="G86" i="13"/>
  <c r="G91" i="13" s="1"/>
  <c r="D97" i="13" s="1"/>
  <c r="D99" i="13" s="1"/>
  <c r="E91" i="13"/>
  <c r="O52" i="34"/>
  <c r="O55" i="34" s="1"/>
  <c r="C63" i="34" s="1"/>
  <c r="L52" i="34"/>
  <c r="L55" i="34" s="1"/>
  <c r="C60" i="34" s="1"/>
  <c r="K52" i="34"/>
  <c r="K55" i="34" s="1"/>
  <c r="C59" i="34" s="1"/>
  <c r="M52" i="34"/>
  <c r="M55" i="34" s="1"/>
  <c r="C61" i="34" s="1"/>
  <c r="N52" i="34"/>
  <c r="N55" i="34" s="1"/>
  <c r="C62" i="34" s="1"/>
  <c r="E24" i="34"/>
  <c r="F91" i="50"/>
  <c r="D100" i="50" s="1"/>
  <c r="D102" i="50" s="1"/>
  <c r="N52" i="40"/>
  <c r="N55" i="40" s="1"/>
  <c r="C62" i="40" s="1"/>
  <c r="F91" i="40" s="1"/>
  <c r="K52" i="40"/>
  <c r="K55" i="40" s="1"/>
  <c r="C59" i="40" s="1"/>
  <c r="O52" i="40"/>
  <c r="O55" i="40" s="1"/>
  <c r="C63" i="40" s="1"/>
  <c r="M52" i="40"/>
  <c r="M55" i="40" s="1"/>
  <c r="C61" i="40" s="1"/>
  <c r="C91" i="40" s="1"/>
  <c r="L52" i="40"/>
  <c r="L55" i="40" s="1"/>
  <c r="C60" i="40" s="1"/>
  <c r="E91" i="40" s="1"/>
  <c r="E24" i="40"/>
  <c r="G92" i="52"/>
  <c r="G97" i="52" s="1"/>
  <c r="D103" i="52" s="1"/>
  <c r="D105" i="52" s="1"/>
  <c r="E97" i="52"/>
  <c r="H56" i="12"/>
  <c r="C75" i="12" s="1"/>
  <c r="H57" i="12"/>
  <c r="C76" i="12" s="1"/>
  <c r="O41" i="39"/>
  <c r="N41" i="39"/>
  <c r="K41" i="39"/>
  <c r="L41" i="39"/>
  <c r="G94" i="39"/>
  <c r="M41" i="39"/>
  <c r="M24" i="39"/>
  <c r="E22" i="37"/>
  <c r="O8" i="23"/>
  <c r="G92" i="7"/>
  <c r="G97" i="7" s="1"/>
  <c r="D103" i="7" s="1"/>
  <c r="D105" i="7" s="1"/>
  <c r="E97" i="7"/>
  <c r="G17" i="3"/>
  <c r="L5" i="48"/>
  <c r="F17" i="3"/>
  <c r="F30" i="22" l="1"/>
  <c r="H11" i="3" s="1"/>
  <c r="I37" i="4" s="1"/>
  <c r="J34" i="5"/>
  <c r="J17" i="5"/>
  <c r="C32" i="22"/>
  <c r="E11" i="3"/>
  <c r="F37" i="4" s="1"/>
  <c r="G32" i="22"/>
  <c r="I11" i="3"/>
  <c r="J37" i="4" s="1"/>
  <c r="L3" i="16"/>
  <c r="G31" i="22"/>
  <c r="C31" i="22"/>
  <c r="G91" i="40"/>
  <c r="E19" i="22"/>
  <c r="D30" i="22"/>
  <c r="G95" i="44"/>
  <c r="D115" i="36"/>
  <c r="D112" i="40"/>
  <c r="D112" i="45"/>
  <c r="M52" i="37"/>
  <c r="M55" i="37" s="1"/>
  <c r="C61" i="37" s="1"/>
  <c r="C86" i="37" s="1"/>
  <c r="K52" i="37"/>
  <c r="K55" i="37" s="1"/>
  <c r="C59" i="37" s="1"/>
  <c r="L52" i="37"/>
  <c r="L55" i="37" s="1"/>
  <c r="C60" i="37" s="1"/>
  <c r="E86" i="37" s="1"/>
  <c r="O52" i="37"/>
  <c r="O55" i="37" s="1"/>
  <c r="C63" i="37" s="1"/>
  <c r="G86" i="37" s="1"/>
  <c r="N52" i="37"/>
  <c r="N55" i="37" s="1"/>
  <c r="C62" i="37" s="1"/>
  <c r="F86" i="37" s="1"/>
  <c r="E24" i="37"/>
  <c r="C104" i="39"/>
  <c r="C106" i="39"/>
  <c r="E106" i="39" s="1"/>
  <c r="G106" i="39" s="1"/>
  <c r="C102" i="39"/>
  <c r="C103" i="39"/>
  <c r="C111" i="39"/>
  <c r="C105" i="39"/>
  <c r="E105" i="39" s="1"/>
  <c r="G105" i="39" s="1"/>
  <c r="C107" i="39"/>
  <c r="O43" i="39"/>
  <c r="C51" i="39" s="1"/>
  <c r="L98" i="39"/>
  <c r="C95" i="34"/>
  <c r="E59" i="44"/>
  <c r="H59" i="44" s="1"/>
  <c r="C81" i="44" s="1"/>
  <c r="D95" i="44"/>
  <c r="C93" i="37"/>
  <c r="C95" i="37"/>
  <c r="C96" i="37"/>
  <c r="C97" i="37"/>
  <c r="E97" i="37" s="1"/>
  <c r="G97" i="37" s="1"/>
  <c r="C98" i="37"/>
  <c r="C94" i="37"/>
  <c r="C102" i="37"/>
  <c r="L89" i="37"/>
  <c r="O43" i="37"/>
  <c r="C51" i="37" s="1"/>
  <c r="L92" i="45"/>
  <c r="M43" i="45"/>
  <c r="C49" i="45" s="1"/>
  <c r="N43" i="45"/>
  <c r="C50" i="45" s="1"/>
  <c r="L93" i="45"/>
  <c r="C111" i="34"/>
  <c r="G95" i="34"/>
  <c r="C102" i="34"/>
  <c r="C105" i="34"/>
  <c r="C103" i="34"/>
  <c r="C106" i="34"/>
  <c r="C107" i="34"/>
  <c r="C104" i="34"/>
  <c r="G94" i="41"/>
  <c r="C103" i="41"/>
  <c r="E103" i="41" s="1"/>
  <c r="G103" i="41" s="1"/>
  <c r="C101" i="41"/>
  <c r="C106" i="41"/>
  <c r="C102" i="41"/>
  <c r="C104" i="41"/>
  <c r="E104" i="41" s="1"/>
  <c r="G104" i="41" s="1"/>
  <c r="C105" i="41"/>
  <c r="C110" i="41"/>
  <c r="N43" i="47"/>
  <c r="C50" i="47" s="1"/>
  <c r="L88" i="47"/>
  <c r="L85" i="42"/>
  <c r="K43" i="42"/>
  <c r="C47" i="42" s="1"/>
  <c r="G95" i="39"/>
  <c r="L95" i="46"/>
  <c r="M43" i="46"/>
  <c r="C49" i="46" s="1"/>
  <c r="C104" i="46"/>
  <c r="C106" i="46"/>
  <c r="C102" i="46"/>
  <c r="C110" i="46"/>
  <c r="C105" i="46"/>
  <c r="C103" i="46"/>
  <c r="C101" i="46"/>
  <c r="E59" i="46"/>
  <c r="D94" i="46"/>
  <c r="K43" i="35"/>
  <c r="C47" i="35" s="1"/>
  <c r="L90" i="35"/>
  <c r="O43" i="35"/>
  <c r="C51" i="35" s="1"/>
  <c r="L94" i="35"/>
  <c r="O43" i="40"/>
  <c r="C51" i="40" s="1"/>
  <c r="L94" i="40"/>
  <c r="N43" i="40"/>
  <c r="C50" i="40" s="1"/>
  <c r="L93" i="40"/>
  <c r="L95" i="44"/>
  <c r="L43" i="44"/>
  <c r="C48" i="44" s="1"/>
  <c r="C105" i="44"/>
  <c r="C106" i="44"/>
  <c r="C102" i="44"/>
  <c r="C103" i="44"/>
  <c r="C111" i="44"/>
  <c r="C107" i="44"/>
  <c r="C104" i="44"/>
  <c r="L93" i="36"/>
  <c r="K43" i="36"/>
  <c r="C47" i="36" s="1"/>
  <c r="L43" i="39"/>
  <c r="C48" i="39" s="1"/>
  <c r="L95" i="39"/>
  <c r="E59" i="40"/>
  <c r="D91" i="40"/>
  <c r="E59" i="34"/>
  <c r="H63" i="34" s="1"/>
  <c r="C85" i="34" s="1"/>
  <c r="D95" i="34"/>
  <c r="F95" i="44"/>
  <c r="K43" i="37"/>
  <c r="C47" i="37" s="1"/>
  <c r="L85" i="37"/>
  <c r="L87" i="37"/>
  <c r="M43" i="37"/>
  <c r="C49" i="37" s="1"/>
  <c r="C101" i="45"/>
  <c r="C103" i="45"/>
  <c r="C102" i="45"/>
  <c r="C98" i="45"/>
  <c r="C100" i="45"/>
  <c r="C99" i="45"/>
  <c r="C107" i="45"/>
  <c r="L94" i="34"/>
  <c r="K43" i="34"/>
  <c r="C47" i="34" s="1"/>
  <c r="N43" i="34"/>
  <c r="C50" i="34" s="1"/>
  <c r="L97" i="34"/>
  <c r="K43" i="41"/>
  <c r="C47" i="41" s="1"/>
  <c r="L93" i="41"/>
  <c r="L87" i="47"/>
  <c r="M43" i="47"/>
  <c r="C49" i="47" s="1"/>
  <c r="L43" i="47"/>
  <c r="C48" i="47" s="1"/>
  <c r="L86" i="47"/>
  <c r="N43" i="42"/>
  <c r="C50" i="42" s="1"/>
  <c r="L88" i="42"/>
  <c r="F95" i="39"/>
  <c r="E59" i="35"/>
  <c r="D91" i="35"/>
  <c r="D115" i="35" s="1"/>
  <c r="L94" i="46"/>
  <c r="L43" i="46"/>
  <c r="C48" i="46" s="1"/>
  <c r="D104" i="49"/>
  <c r="M43" i="35"/>
  <c r="C49" i="35" s="1"/>
  <c r="L92" i="35"/>
  <c r="M43" i="40"/>
  <c r="C49" i="40" s="1"/>
  <c r="L92" i="40"/>
  <c r="C102" i="40"/>
  <c r="C98" i="40"/>
  <c r="C99" i="40"/>
  <c r="C103" i="40"/>
  <c r="C101" i="40"/>
  <c r="C100" i="40"/>
  <c r="C107" i="40"/>
  <c r="E59" i="36"/>
  <c r="D94" i="36"/>
  <c r="N43" i="44"/>
  <c r="C50" i="44" s="1"/>
  <c r="L97" i="44"/>
  <c r="E59" i="45"/>
  <c r="D91" i="45"/>
  <c r="L95" i="36"/>
  <c r="M43" i="36"/>
  <c r="C49" i="36" s="1"/>
  <c r="K43" i="39"/>
  <c r="C47" i="39" s="1"/>
  <c r="L94" i="39"/>
  <c r="E95" i="34"/>
  <c r="E95" i="44"/>
  <c r="L88" i="37"/>
  <c r="N43" i="37"/>
  <c r="C50" i="37" s="1"/>
  <c r="L52" i="42"/>
  <c r="L55" i="42" s="1"/>
  <c r="C60" i="42" s="1"/>
  <c r="E86" i="42" s="1"/>
  <c r="O52" i="42"/>
  <c r="O55" i="42" s="1"/>
  <c r="C63" i="42" s="1"/>
  <c r="G86" i="42" s="1"/>
  <c r="M52" i="42"/>
  <c r="M55" i="42" s="1"/>
  <c r="C61" i="42" s="1"/>
  <c r="C86" i="42" s="1"/>
  <c r="N52" i="42"/>
  <c r="N55" i="42" s="1"/>
  <c r="C62" i="42" s="1"/>
  <c r="F86" i="42" s="1"/>
  <c r="K52" i="42"/>
  <c r="K55" i="42" s="1"/>
  <c r="C59" i="42" s="1"/>
  <c r="E24" i="42"/>
  <c r="D115" i="41"/>
  <c r="L91" i="45"/>
  <c r="L43" i="45"/>
  <c r="C48" i="45" s="1"/>
  <c r="L96" i="34"/>
  <c r="M43" i="34"/>
  <c r="C49" i="34" s="1"/>
  <c r="L95" i="34"/>
  <c r="L43" i="34"/>
  <c r="C48" i="34" s="1"/>
  <c r="L95" i="41"/>
  <c r="M43" i="41"/>
  <c r="C49" i="41" s="1"/>
  <c r="L94" i="41"/>
  <c r="L43" i="41"/>
  <c r="C48" i="41" s="1"/>
  <c r="O43" i="47"/>
  <c r="C51" i="47" s="1"/>
  <c r="L89" i="47"/>
  <c r="K43" i="47"/>
  <c r="C47" i="47" s="1"/>
  <c r="L85" i="47"/>
  <c r="O43" i="42"/>
  <c r="C51" i="42" s="1"/>
  <c r="L89" i="42"/>
  <c r="L86" i="42"/>
  <c r="L43" i="42"/>
  <c r="C48" i="42" s="1"/>
  <c r="C95" i="39"/>
  <c r="E95" i="39"/>
  <c r="O43" i="46"/>
  <c r="C51" i="46" s="1"/>
  <c r="L97" i="46"/>
  <c r="G94" i="46"/>
  <c r="C101" i="35"/>
  <c r="C98" i="35"/>
  <c r="C99" i="35"/>
  <c r="C107" i="35"/>
  <c r="C102" i="35"/>
  <c r="C100" i="35"/>
  <c r="C103" i="35"/>
  <c r="L90" i="40"/>
  <c r="K43" i="40"/>
  <c r="C47" i="40" s="1"/>
  <c r="L96" i="44"/>
  <c r="M43" i="44"/>
  <c r="C49" i="44" s="1"/>
  <c r="G91" i="45"/>
  <c r="G94" i="36"/>
  <c r="C105" i="36"/>
  <c r="C104" i="36"/>
  <c r="C102" i="36"/>
  <c r="E102" i="36" s="1"/>
  <c r="G102" i="36" s="1"/>
  <c r="C110" i="36"/>
  <c r="C103" i="36"/>
  <c r="C101" i="36"/>
  <c r="C106" i="36"/>
  <c r="L96" i="36"/>
  <c r="N43" i="36"/>
  <c r="C50" i="36" s="1"/>
  <c r="L96" i="39"/>
  <c r="M43" i="39"/>
  <c r="C49" i="39" s="1"/>
  <c r="L97" i="39"/>
  <c r="N43" i="39"/>
  <c r="C50" i="39" s="1"/>
  <c r="F95" i="34"/>
  <c r="C95" i="44"/>
  <c r="L43" i="37"/>
  <c r="C48" i="37" s="1"/>
  <c r="L86" i="37"/>
  <c r="E59" i="41"/>
  <c r="D94" i="41"/>
  <c r="K43" i="45"/>
  <c r="C47" i="45" s="1"/>
  <c r="L90" i="45"/>
  <c r="L94" i="45"/>
  <c r="O43" i="45"/>
  <c r="C51" i="45" s="1"/>
  <c r="O43" i="34"/>
  <c r="C51" i="34" s="1"/>
  <c r="L98" i="34"/>
  <c r="L96" i="41"/>
  <c r="N43" i="41"/>
  <c r="C50" i="41" s="1"/>
  <c r="L97" i="41"/>
  <c r="O43" i="41"/>
  <c r="C51" i="41" s="1"/>
  <c r="C98" i="47"/>
  <c r="C97" i="47"/>
  <c r="E97" i="47" s="1"/>
  <c r="G97" i="47" s="1"/>
  <c r="C102" i="47"/>
  <c r="C96" i="47"/>
  <c r="E96" i="47" s="1"/>
  <c r="G96" i="47" s="1"/>
  <c r="C94" i="47"/>
  <c r="C95" i="47"/>
  <c r="C93" i="47"/>
  <c r="M43" i="42"/>
  <c r="C49" i="42" s="1"/>
  <c r="L87" i="42"/>
  <c r="C97" i="42"/>
  <c r="C102" i="42"/>
  <c r="C96" i="42"/>
  <c r="C95" i="42"/>
  <c r="C93" i="42"/>
  <c r="C94" i="42"/>
  <c r="C98" i="42"/>
  <c r="E59" i="39"/>
  <c r="H63" i="39" s="1"/>
  <c r="C85" i="39" s="1"/>
  <c r="D95" i="39"/>
  <c r="D112" i="35"/>
  <c r="K43" i="46"/>
  <c r="C47" i="46" s="1"/>
  <c r="L93" i="46"/>
  <c r="N43" i="46"/>
  <c r="C50" i="46" s="1"/>
  <c r="L96" i="46"/>
  <c r="D115" i="46"/>
  <c r="L43" i="35"/>
  <c r="C48" i="35" s="1"/>
  <c r="L91" i="35"/>
  <c r="N43" i="35"/>
  <c r="C50" i="35" s="1"/>
  <c r="L93" i="35"/>
  <c r="L91" i="40"/>
  <c r="L43" i="40"/>
  <c r="C48" i="40" s="1"/>
  <c r="K52" i="47"/>
  <c r="K55" i="47" s="1"/>
  <c r="C59" i="47" s="1"/>
  <c r="N52" i="47"/>
  <c r="N55" i="47" s="1"/>
  <c r="C62" i="47" s="1"/>
  <c r="F86" i="47" s="1"/>
  <c r="L52" i="47"/>
  <c r="L55" i="47" s="1"/>
  <c r="C60" i="47" s="1"/>
  <c r="E86" i="47" s="1"/>
  <c r="O52" i="47"/>
  <c r="O55" i="47" s="1"/>
  <c r="C63" i="47" s="1"/>
  <c r="G86" i="47" s="1"/>
  <c r="M52" i="47"/>
  <c r="M55" i="47" s="1"/>
  <c r="C61" i="47" s="1"/>
  <c r="C86" i="47" s="1"/>
  <c r="E24" i="47"/>
  <c r="L98" i="44"/>
  <c r="O43" i="44"/>
  <c r="C51" i="44" s="1"/>
  <c r="K43" i="44"/>
  <c r="C47" i="44" s="1"/>
  <c r="L94" i="44"/>
  <c r="L94" i="36"/>
  <c r="L43" i="36"/>
  <c r="C48" i="36" s="1"/>
  <c r="L97" i="36"/>
  <c r="O43" i="36"/>
  <c r="C51" i="36" s="1"/>
  <c r="L5" i="43"/>
  <c r="E20" i="3" l="1"/>
  <c r="F31" i="22"/>
  <c r="H12" i="3" s="1"/>
  <c r="H21" i="3" s="1"/>
  <c r="I6" i="4" s="1"/>
  <c r="I20" i="3"/>
  <c r="H20" i="3"/>
  <c r="E30" i="22"/>
  <c r="G11" i="3" s="1"/>
  <c r="H37" i="4" s="1"/>
  <c r="F32" i="22"/>
  <c r="L6" i="48" s="1"/>
  <c r="B3" i="48" s="1"/>
  <c r="F3" i="48" s="1"/>
  <c r="F13" i="48" s="1"/>
  <c r="G37" i="22"/>
  <c r="G38" i="22" s="1"/>
  <c r="L6" i="38"/>
  <c r="B3" i="38" s="1"/>
  <c r="B13" i="38" s="1"/>
  <c r="I13" i="3"/>
  <c r="I22" i="3" s="1"/>
  <c r="J8" i="4" s="1"/>
  <c r="L5" i="16"/>
  <c r="L9" i="16" s="1"/>
  <c r="E12" i="3"/>
  <c r="E21" i="3" s="1"/>
  <c r="I12" i="3"/>
  <c r="I21" i="3" s="1"/>
  <c r="L8" i="16"/>
  <c r="B3" i="16" s="1"/>
  <c r="E13" i="3"/>
  <c r="E22" i="3" s="1"/>
  <c r="F8" i="4" s="1"/>
  <c r="D32" i="22"/>
  <c r="F11" i="3"/>
  <c r="G37" i="4" s="1"/>
  <c r="L3" i="38"/>
  <c r="C37" i="22"/>
  <c r="C38" i="22" s="1"/>
  <c r="D115" i="40"/>
  <c r="D31" i="22"/>
  <c r="F12" i="3" s="1"/>
  <c r="F21" i="3" s="1"/>
  <c r="L3" i="53"/>
  <c r="H60" i="34"/>
  <c r="C82" i="34" s="1"/>
  <c r="D116" i="34"/>
  <c r="F105" i="39"/>
  <c r="D118" i="41"/>
  <c r="H61" i="44"/>
  <c r="C83" i="44" s="1"/>
  <c r="H63" i="44"/>
  <c r="C85" i="44" s="1"/>
  <c r="H62" i="44"/>
  <c r="C84" i="44" s="1"/>
  <c r="F104" i="41"/>
  <c r="D116" i="44"/>
  <c r="E47" i="47"/>
  <c r="F103" i="41"/>
  <c r="H60" i="44"/>
  <c r="C82" i="44" s="1"/>
  <c r="D107" i="47"/>
  <c r="F102" i="36"/>
  <c r="D116" i="39"/>
  <c r="H62" i="34"/>
  <c r="C84" i="34" s="1"/>
  <c r="H59" i="39"/>
  <c r="C81" i="39" s="1"/>
  <c r="F97" i="47"/>
  <c r="F101" i="41"/>
  <c r="H59" i="34"/>
  <c r="C81" i="34" s="1"/>
  <c r="N90" i="45"/>
  <c r="E47" i="45"/>
  <c r="C100" i="42"/>
  <c r="F93" i="42"/>
  <c r="E93" i="42"/>
  <c r="E97" i="42"/>
  <c r="G97" i="42" s="1"/>
  <c r="F97" i="42"/>
  <c r="F95" i="47"/>
  <c r="E95" i="47"/>
  <c r="G95" i="47" s="1"/>
  <c r="F103" i="36"/>
  <c r="E103" i="36"/>
  <c r="G103" i="36" s="1"/>
  <c r="F105" i="36"/>
  <c r="E105" i="36"/>
  <c r="G105" i="36" s="1"/>
  <c r="F103" i="35"/>
  <c r="E103" i="35"/>
  <c r="G103" i="35" s="1"/>
  <c r="F99" i="35"/>
  <c r="E99" i="35"/>
  <c r="G99" i="35" s="1"/>
  <c r="H61" i="39"/>
  <c r="C83" i="39" s="1"/>
  <c r="D107" i="42"/>
  <c r="E100" i="40"/>
  <c r="G100" i="40" s="1"/>
  <c r="F100" i="40"/>
  <c r="C105" i="40"/>
  <c r="F98" i="40"/>
  <c r="E98" i="40"/>
  <c r="E47" i="41"/>
  <c r="F98" i="45"/>
  <c r="C105" i="45"/>
  <c r="E98" i="45"/>
  <c r="E107" i="44"/>
  <c r="G107" i="44" s="1"/>
  <c r="F107" i="44"/>
  <c r="F106" i="44"/>
  <c r="E106" i="44"/>
  <c r="G106" i="44" s="1"/>
  <c r="D118" i="46"/>
  <c r="F105" i="46"/>
  <c r="E105" i="46"/>
  <c r="G105" i="46" s="1"/>
  <c r="F104" i="46"/>
  <c r="E104" i="46"/>
  <c r="G104" i="46" s="1"/>
  <c r="F102" i="41"/>
  <c r="E102" i="41"/>
  <c r="G102" i="41" s="1"/>
  <c r="E103" i="34"/>
  <c r="G103" i="34" s="1"/>
  <c r="F103" i="34"/>
  <c r="F94" i="37"/>
  <c r="E94" i="37"/>
  <c r="G94" i="37" s="1"/>
  <c r="F95" i="37"/>
  <c r="E95" i="37"/>
  <c r="G95" i="37" s="1"/>
  <c r="F103" i="39"/>
  <c r="E103" i="39"/>
  <c r="G103" i="39" s="1"/>
  <c r="E47" i="44"/>
  <c r="H52" i="44" s="1"/>
  <c r="C73" i="44" s="1"/>
  <c r="E47" i="46"/>
  <c r="F95" i="42"/>
  <c r="E95" i="42"/>
  <c r="G95" i="42" s="1"/>
  <c r="F94" i="47"/>
  <c r="E94" i="47"/>
  <c r="G94" i="47" s="1"/>
  <c r="F98" i="47"/>
  <c r="E98" i="47"/>
  <c r="G98" i="47" s="1"/>
  <c r="F100" i="35"/>
  <c r="E100" i="35"/>
  <c r="G100" i="35" s="1"/>
  <c r="F98" i="35"/>
  <c r="C105" i="35"/>
  <c r="E98" i="35"/>
  <c r="D115" i="45"/>
  <c r="D118" i="36"/>
  <c r="E101" i="40"/>
  <c r="G101" i="40" s="1"/>
  <c r="F101" i="40"/>
  <c r="E102" i="40"/>
  <c r="G102" i="40" s="1"/>
  <c r="F102" i="40"/>
  <c r="F102" i="45"/>
  <c r="E102" i="45"/>
  <c r="G102" i="45" s="1"/>
  <c r="E47" i="36"/>
  <c r="E105" i="44"/>
  <c r="G105" i="44" s="1"/>
  <c r="F105" i="44"/>
  <c r="F106" i="41"/>
  <c r="E106" i="41"/>
  <c r="G106" i="41" s="1"/>
  <c r="F104" i="34"/>
  <c r="E104" i="34"/>
  <c r="G104" i="34" s="1"/>
  <c r="F105" i="34"/>
  <c r="E105" i="34"/>
  <c r="G105" i="34" s="1"/>
  <c r="E98" i="37"/>
  <c r="G98" i="37" s="1"/>
  <c r="F98" i="37"/>
  <c r="C100" i="37"/>
  <c r="F93" i="37"/>
  <c r="E93" i="37"/>
  <c r="H61" i="34"/>
  <c r="C83" i="34" s="1"/>
  <c r="E107" i="39"/>
  <c r="G107" i="39" s="1"/>
  <c r="F107" i="39"/>
  <c r="C109" i="39"/>
  <c r="F102" i="39"/>
  <c r="E102" i="39"/>
  <c r="E59" i="37"/>
  <c r="D86" i="37"/>
  <c r="D110" i="37" s="1"/>
  <c r="E59" i="47"/>
  <c r="D86" i="47"/>
  <c r="D110" i="47" s="1"/>
  <c r="F98" i="42"/>
  <c r="E98" i="42"/>
  <c r="G98" i="42" s="1"/>
  <c r="E96" i="42"/>
  <c r="G96" i="42" s="1"/>
  <c r="F96" i="42"/>
  <c r="F106" i="36"/>
  <c r="E106" i="36"/>
  <c r="G106" i="36" s="1"/>
  <c r="E47" i="40"/>
  <c r="F102" i="35"/>
  <c r="E102" i="35"/>
  <c r="G102" i="35" s="1"/>
  <c r="E101" i="35"/>
  <c r="G101" i="35" s="1"/>
  <c r="F101" i="35"/>
  <c r="H60" i="39"/>
  <c r="C82" i="39" s="1"/>
  <c r="E59" i="42"/>
  <c r="D86" i="42"/>
  <c r="D110" i="42" s="1"/>
  <c r="E47" i="39"/>
  <c r="H52" i="39" s="1"/>
  <c r="C73" i="39" s="1"/>
  <c r="E103" i="40"/>
  <c r="G103" i="40" s="1"/>
  <c r="F103" i="40"/>
  <c r="F99" i="45"/>
  <c r="E99" i="45"/>
  <c r="G99" i="45" s="1"/>
  <c r="E103" i="45"/>
  <c r="G103" i="45" s="1"/>
  <c r="F103" i="45"/>
  <c r="D119" i="34"/>
  <c r="E103" i="44"/>
  <c r="G103" i="44" s="1"/>
  <c r="F103" i="44"/>
  <c r="N90" i="35"/>
  <c r="C108" i="46"/>
  <c r="F101" i="46"/>
  <c r="E101" i="46"/>
  <c r="F102" i="46"/>
  <c r="E102" i="46"/>
  <c r="G102" i="46" s="1"/>
  <c r="E47" i="42"/>
  <c r="F105" i="41"/>
  <c r="E105" i="41"/>
  <c r="G105" i="41" s="1"/>
  <c r="C108" i="41"/>
  <c r="E101" i="41"/>
  <c r="E107" i="34"/>
  <c r="G107" i="34" s="1"/>
  <c r="F107" i="34"/>
  <c r="F102" i="34"/>
  <c r="C109" i="34"/>
  <c r="E102" i="34"/>
  <c r="F97" i="37"/>
  <c r="D119" i="44"/>
  <c r="D107" i="37"/>
  <c r="F94" i="42"/>
  <c r="E94" i="42"/>
  <c r="G94" i="42" s="1"/>
  <c r="C100" i="47"/>
  <c r="F93" i="47"/>
  <c r="E93" i="47"/>
  <c r="F101" i="36"/>
  <c r="C108" i="36"/>
  <c r="E101" i="36"/>
  <c r="E104" i="36"/>
  <c r="G104" i="36" s="1"/>
  <c r="F104" i="36"/>
  <c r="N90" i="40"/>
  <c r="D119" i="39"/>
  <c r="F99" i="40"/>
  <c r="E99" i="40"/>
  <c r="G99" i="40" s="1"/>
  <c r="H62" i="39"/>
  <c r="C84" i="39" s="1"/>
  <c r="E47" i="34"/>
  <c r="H49" i="34" s="1"/>
  <c r="C70" i="34" s="1"/>
  <c r="F100" i="45"/>
  <c r="E100" i="45"/>
  <c r="G100" i="45" s="1"/>
  <c r="E101" i="45"/>
  <c r="G101" i="45" s="1"/>
  <c r="F101" i="45"/>
  <c r="E47" i="37"/>
  <c r="F104" i="44"/>
  <c r="E104" i="44"/>
  <c r="G104" i="44" s="1"/>
  <c r="C109" i="44"/>
  <c r="F102" i="44"/>
  <c r="E102" i="44"/>
  <c r="E47" i="35"/>
  <c r="F103" i="46"/>
  <c r="E103" i="46"/>
  <c r="G103" i="46" s="1"/>
  <c r="E106" i="46"/>
  <c r="G106" i="46" s="1"/>
  <c r="F106" i="46"/>
  <c r="F96" i="47"/>
  <c r="F106" i="34"/>
  <c r="E106" i="34"/>
  <c r="G106" i="34" s="1"/>
  <c r="F96" i="37"/>
  <c r="E96" i="37"/>
  <c r="G96" i="37" s="1"/>
  <c r="F106" i="39"/>
  <c r="F104" i="39"/>
  <c r="E104" i="39"/>
  <c r="G104" i="39" s="1"/>
  <c r="E32" i="22" l="1"/>
  <c r="L3" i="48"/>
  <c r="B4" i="48" s="1"/>
  <c r="D1" i="48" s="1"/>
  <c r="F37" i="22"/>
  <c r="F38" i="22" s="1"/>
  <c r="G20" i="3"/>
  <c r="F20" i="3"/>
  <c r="H13" i="3"/>
  <c r="H22" i="3" s="1"/>
  <c r="I8" i="4" s="1"/>
  <c r="E31" i="22"/>
  <c r="G12" i="3" s="1"/>
  <c r="G21" i="3" s="1"/>
  <c r="H6" i="4" s="1"/>
  <c r="B13" i="48"/>
  <c r="E31" i="44" s="1"/>
  <c r="B4" i="16"/>
  <c r="B14" i="16" s="1"/>
  <c r="F6" i="4"/>
  <c r="F7" i="4"/>
  <c r="J6" i="4"/>
  <c r="J7" i="4"/>
  <c r="I7" i="4"/>
  <c r="L7" i="38"/>
  <c r="L7" i="16"/>
  <c r="F3" i="38"/>
  <c r="F13" i="38" s="1"/>
  <c r="L8" i="53"/>
  <c r="B3" i="53" s="1"/>
  <c r="F13" i="3"/>
  <c r="F22" i="3" s="1"/>
  <c r="G8" i="4" s="1"/>
  <c r="F21" i="38"/>
  <c r="B21" i="38"/>
  <c r="E31" i="35"/>
  <c r="E31" i="36"/>
  <c r="C21" i="38"/>
  <c r="D21" i="38"/>
  <c r="E21" i="38" s="1"/>
  <c r="E31" i="34"/>
  <c r="E27" i="37"/>
  <c r="E29" i="37" s="1"/>
  <c r="E30" i="37" s="1"/>
  <c r="D68" i="37" s="1"/>
  <c r="E95" i="6" s="1"/>
  <c r="L6" i="43"/>
  <c r="B3" i="43" s="1"/>
  <c r="B13" i="43" s="1"/>
  <c r="C21" i="43" s="1"/>
  <c r="G13" i="3"/>
  <c r="G22" i="3" s="1"/>
  <c r="H8" i="4" s="1"/>
  <c r="G16" i="5" s="1"/>
  <c r="D37" i="22"/>
  <c r="D38" i="22" s="1"/>
  <c r="F3" i="16"/>
  <c r="F13" i="16" s="1"/>
  <c r="B13" i="16"/>
  <c r="B4" i="38"/>
  <c r="E4" i="38" s="1"/>
  <c r="F4" i="38" s="1"/>
  <c r="L5" i="53"/>
  <c r="B4" i="53" s="1"/>
  <c r="H49" i="44"/>
  <c r="C70" i="44" s="1"/>
  <c r="H51" i="44"/>
  <c r="C72" i="44" s="1"/>
  <c r="H48" i="44"/>
  <c r="C69" i="44" s="1"/>
  <c r="F108" i="41"/>
  <c r="D117" i="41" s="1"/>
  <c r="D119" i="41" s="1"/>
  <c r="F109" i="44"/>
  <c r="D118" i="44" s="1"/>
  <c r="D120" i="44" s="1"/>
  <c r="F100" i="47"/>
  <c r="D109" i="47" s="1"/>
  <c r="D111" i="47" s="1"/>
  <c r="H47" i="39"/>
  <c r="C68" i="39" s="1"/>
  <c r="H51" i="34"/>
  <c r="C72" i="34" s="1"/>
  <c r="H48" i="34"/>
  <c r="C69" i="34" s="1"/>
  <c r="F109" i="39"/>
  <c r="D118" i="39" s="1"/>
  <c r="D120" i="39" s="1"/>
  <c r="F105" i="45"/>
  <c r="D114" i="45" s="1"/>
  <c r="D116" i="45" s="1"/>
  <c r="G93" i="42"/>
  <c r="G100" i="42" s="1"/>
  <c r="D106" i="42" s="1"/>
  <c r="D108" i="42" s="1"/>
  <c r="E100" i="42"/>
  <c r="G102" i="44"/>
  <c r="G109" i="44" s="1"/>
  <c r="D115" i="44" s="1"/>
  <c r="D117" i="44" s="1"/>
  <c r="E109" i="44"/>
  <c r="E108" i="36"/>
  <c r="G101" i="36"/>
  <c r="G108" i="36" s="1"/>
  <c r="D114" i="36" s="1"/>
  <c r="D116" i="36" s="1"/>
  <c r="E100" i="47"/>
  <c r="G93" i="47"/>
  <c r="G100" i="47" s="1"/>
  <c r="D106" i="47" s="1"/>
  <c r="D108" i="47" s="1"/>
  <c r="G102" i="34"/>
  <c r="G109" i="34" s="1"/>
  <c r="D115" i="34" s="1"/>
  <c r="D117" i="34" s="1"/>
  <c r="E109" i="34"/>
  <c r="G101" i="46"/>
  <c r="G108" i="46" s="1"/>
  <c r="D114" i="46" s="1"/>
  <c r="D116" i="46" s="1"/>
  <c r="E108" i="46"/>
  <c r="H50" i="34"/>
  <c r="C71" i="34" s="1"/>
  <c r="H49" i="39"/>
  <c r="C70" i="39" s="1"/>
  <c r="E100" i="37"/>
  <c r="G93" i="37"/>
  <c r="G100" i="37" s="1"/>
  <c r="D106" i="37" s="1"/>
  <c r="D108" i="37" s="1"/>
  <c r="F105" i="35"/>
  <c r="D114" i="35" s="1"/>
  <c r="D116" i="35" s="1"/>
  <c r="H48" i="39"/>
  <c r="C69" i="39" s="1"/>
  <c r="F100" i="42"/>
  <c r="D109" i="42" s="1"/>
  <c r="D111" i="42" s="1"/>
  <c r="G101" i="41"/>
  <c r="G108" i="41" s="1"/>
  <c r="D114" i="41" s="1"/>
  <c r="D116" i="41" s="1"/>
  <c r="E108" i="41"/>
  <c r="F108" i="46"/>
  <c r="D117" i="46" s="1"/>
  <c r="D119" i="46" s="1"/>
  <c r="F100" i="37"/>
  <c r="D109" i="37" s="1"/>
  <c r="D111" i="37" s="1"/>
  <c r="G98" i="45"/>
  <c r="G105" i="45" s="1"/>
  <c r="D111" i="45" s="1"/>
  <c r="D113" i="45" s="1"/>
  <c r="E105" i="45"/>
  <c r="E105" i="40"/>
  <c r="G98" i="40"/>
  <c r="G105" i="40" s="1"/>
  <c r="D111" i="40" s="1"/>
  <c r="D113" i="40" s="1"/>
  <c r="H47" i="34"/>
  <c r="C68" i="34" s="1"/>
  <c r="H52" i="34"/>
  <c r="C73" i="34" s="1"/>
  <c r="F108" i="36"/>
  <c r="D117" i="36" s="1"/>
  <c r="D119" i="36" s="1"/>
  <c r="F109" i="34"/>
  <c r="D118" i="34" s="1"/>
  <c r="D120" i="34" s="1"/>
  <c r="G102" i="39"/>
  <c r="G109" i="39" s="1"/>
  <c r="D115" i="39" s="1"/>
  <c r="D117" i="39" s="1"/>
  <c r="E109" i="39"/>
  <c r="E105" i="35"/>
  <c r="G98" i="35"/>
  <c r="G105" i="35" s="1"/>
  <c r="D111" i="35" s="1"/>
  <c r="D113" i="35" s="1"/>
  <c r="H47" i="44"/>
  <c r="C68" i="44" s="1"/>
  <c r="H51" i="39"/>
  <c r="C72" i="39" s="1"/>
  <c r="F105" i="40"/>
  <c r="D114" i="40" s="1"/>
  <c r="D116" i="40" s="1"/>
  <c r="H50" i="44"/>
  <c r="C71" i="44" s="1"/>
  <c r="H50" i="39"/>
  <c r="C71" i="39" s="1"/>
  <c r="E4" i="48"/>
  <c r="B14" i="48"/>
  <c r="C1" i="48"/>
  <c r="B6" i="48"/>
  <c r="D1" i="16"/>
  <c r="C1" i="16"/>
  <c r="L7" i="48" l="1"/>
  <c r="E27" i="47"/>
  <c r="E29" i="47" s="1"/>
  <c r="E30" i="47" s="1"/>
  <c r="G68" i="47" s="1"/>
  <c r="L3" i="43"/>
  <c r="B4" i="43" s="1"/>
  <c r="C1" i="43" s="1"/>
  <c r="E37" i="22"/>
  <c r="E38" i="22" s="1"/>
  <c r="C21" i="48"/>
  <c r="E31" i="46"/>
  <c r="F21" i="48"/>
  <c r="E31" i="45"/>
  <c r="B21" i="48"/>
  <c r="B6" i="16"/>
  <c r="E4" i="16"/>
  <c r="F4" i="16" s="1"/>
  <c r="F1" i="16" s="1"/>
  <c r="D21" i="48"/>
  <c r="E21" i="48" s="1"/>
  <c r="E27" i="42"/>
  <c r="E29" i="42" s="1"/>
  <c r="E30" i="42" s="1"/>
  <c r="E31" i="40"/>
  <c r="F3" i="43"/>
  <c r="F13" i="43" s="1"/>
  <c r="B21" i="43"/>
  <c r="E31" i="39"/>
  <c r="F21" i="43"/>
  <c r="D21" i="43"/>
  <c r="E21" i="43" s="1"/>
  <c r="E31" i="41"/>
  <c r="H7" i="4"/>
  <c r="G7" i="4"/>
  <c r="G6" i="4"/>
  <c r="C74" i="37"/>
  <c r="C76" i="37"/>
  <c r="G68" i="37"/>
  <c r="C75" i="37"/>
  <c r="C68" i="37"/>
  <c r="C73" i="37"/>
  <c r="E68" i="37"/>
  <c r="F95" i="6" s="1"/>
  <c r="F6" i="38"/>
  <c r="C72" i="37"/>
  <c r="F68" i="37"/>
  <c r="C71" i="37"/>
  <c r="F3" i="53"/>
  <c r="F13" i="53" s="1"/>
  <c r="B13" i="53"/>
  <c r="E30" i="14"/>
  <c r="E26" i="13"/>
  <c r="E28" i="13" s="1"/>
  <c r="E29" i="13" s="1"/>
  <c r="C66" i="13" s="1"/>
  <c r="D21" i="16"/>
  <c r="E21" i="16" s="1"/>
  <c r="E29" i="12"/>
  <c r="C21" i="16"/>
  <c r="B21" i="16"/>
  <c r="F21" i="16"/>
  <c r="E30" i="15"/>
  <c r="F1" i="38"/>
  <c r="E14" i="38"/>
  <c r="E20" i="38" s="1"/>
  <c r="C20" i="38" s="1"/>
  <c r="D1" i="38"/>
  <c r="F14" i="38"/>
  <c r="F15" i="38" s="1"/>
  <c r="B14" i="38"/>
  <c r="E27" i="35" s="1"/>
  <c r="E30" i="35" s="1"/>
  <c r="E1" i="38"/>
  <c r="C1" i="38"/>
  <c r="E6" i="38"/>
  <c r="B6" i="38"/>
  <c r="L7" i="53"/>
  <c r="L9" i="53"/>
  <c r="I16" i="5"/>
  <c r="I33" i="5"/>
  <c r="E25" i="12"/>
  <c r="B20" i="16"/>
  <c r="E26" i="14"/>
  <c r="E26" i="15"/>
  <c r="E25" i="14"/>
  <c r="E25" i="13"/>
  <c r="E24" i="12"/>
  <c r="E25" i="15"/>
  <c r="B15" i="16"/>
  <c r="B14" i="43"/>
  <c r="B15" i="48"/>
  <c r="E27" i="46"/>
  <c r="E27" i="44"/>
  <c r="E27" i="45"/>
  <c r="B20" i="48"/>
  <c r="E26" i="45"/>
  <c r="E26" i="46"/>
  <c r="E26" i="44"/>
  <c r="E26" i="47"/>
  <c r="C1" i="53"/>
  <c r="E4" i="53"/>
  <c r="B14" i="53"/>
  <c r="D1" i="53"/>
  <c r="B6" i="53"/>
  <c r="F4" i="48"/>
  <c r="E1" i="48"/>
  <c r="E6" i="48"/>
  <c r="E14" i="48"/>
  <c r="C76" i="47" l="1"/>
  <c r="F68" i="47"/>
  <c r="C72" i="47"/>
  <c r="D1" i="43"/>
  <c r="C73" i="47"/>
  <c r="C71" i="47"/>
  <c r="D68" i="47"/>
  <c r="E79" i="6" s="1"/>
  <c r="C75" i="47"/>
  <c r="B6" i="43"/>
  <c r="C68" i="47"/>
  <c r="D79" i="6" s="1"/>
  <c r="L7" i="43"/>
  <c r="C74" i="47"/>
  <c r="E4" i="43"/>
  <c r="F4" i="43" s="1"/>
  <c r="F14" i="43" s="1"/>
  <c r="E68" i="47"/>
  <c r="F79" i="6" s="1"/>
  <c r="E14" i="16"/>
  <c r="E15" i="16" s="1"/>
  <c r="F6" i="16"/>
  <c r="F14" i="16"/>
  <c r="F20" i="16" s="1"/>
  <c r="E6" i="16"/>
  <c r="E1" i="16"/>
  <c r="F66" i="13"/>
  <c r="F20" i="38"/>
  <c r="K85" i="36" s="1"/>
  <c r="K94" i="37"/>
  <c r="K95" i="37" s="1"/>
  <c r="E29" i="35"/>
  <c r="C69" i="13"/>
  <c r="K92" i="37"/>
  <c r="K93" i="37" s="1"/>
  <c r="D95" i="6"/>
  <c r="E15" i="38"/>
  <c r="C70" i="13"/>
  <c r="D66" i="13"/>
  <c r="E33" i="6" s="1"/>
  <c r="E16" i="5" s="1"/>
  <c r="E27" i="34"/>
  <c r="C71" i="13"/>
  <c r="E66" i="13"/>
  <c r="F33" i="6" s="1"/>
  <c r="C72" i="13"/>
  <c r="C21" i="53"/>
  <c r="E29" i="49"/>
  <c r="D21" i="53"/>
  <c r="E21" i="53" s="1"/>
  <c r="E30" i="52"/>
  <c r="B21" i="53"/>
  <c r="E30" i="51"/>
  <c r="F21" i="53"/>
  <c r="E26" i="50"/>
  <c r="E26" i="35"/>
  <c r="B20" i="38"/>
  <c r="E87" i="6" s="1"/>
  <c r="E26" i="36"/>
  <c r="E26" i="37"/>
  <c r="E26" i="34"/>
  <c r="B15" i="38"/>
  <c r="E27" i="36"/>
  <c r="E29" i="36" s="1"/>
  <c r="H33" i="5"/>
  <c r="H16" i="5"/>
  <c r="F14" i="48"/>
  <c r="F1" i="48"/>
  <c r="F6" i="48"/>
  <c r="K84" i="36"/>
  <c r="E30" i="46"/>
  <c r="E29" i="46"/>
  <c r="E27" i="12"/>
  <c r="D62" i="12" s="1"/>
  <c r="E28" i="12"/>
  <c r="D73" i="12" s="1"/>
  <c r="C76" i="42"/>
  <c r="C75" i="42"/>
  <c r="C72" i="42"/>
  <c r="C74" i="42"/>
  <c r="C71" i="42"/>
  <c r="C73" i="42"/>
  <c r="E77" i="6"/>
  <c r="E70" i="6"/>
  <c r="K84" i="45"/>
  <c r="M84" i="45" s="1"/>
  <c r="E73" i="6"/>
  <c r="E76" i="6"/>
  <c r="E74" i="6"/>
  <c r="E68" i="6"/>
  <c r="E71" i="6"/>
  <c r="E69" i="6"/>
  <c r="E75" i="6"/>
  <c r="E28" i="15"/>
  <c r="E29" i="15"/>
  <c r="E15" i="48"/>
  <c r="E20" i="48"/>
  <c r="C20" i="48" s="1"/>
  <c r="C68" i="42"/>
  <c r="G68" i="42"/>
  <c r="D68" i="42"/>
  <c r="E63" i="6" s="1"/>
  <c r="F68" i="42"/>
  <c r="E68" i="42"/>
  <c r="F63" i="6" s="1"/>
  <c r="E26" i="52"/>
  <c r="E26" i="51"/>
  <c r="E25" i="49"/>
  <c r="B20" i="53"/>
  <c r="E25" i="51"/>
  <c r="E25" i="52"/>
  <c r="E25" i="50"/>
  <c r="E24" i="49"/>
  <c r="B15" i="53"/>
  <c r="E29" i="45"/>
  <c r="E30" i="45"/>
  <c r="E29" i="14"/>
  <c r="E28" i="14"/>
  <c r="D33" i="6"/>
  <c r="F4" i="53"/>
  <c r="E14" i="53"/>
  <c r="E6" i="53"/>
  <c r="E1" i="53"/>
  <c r="E30" i="44"/>
  <c r="D81" i="44" s="1"/>
  <c r="E29" i="44"/>
  <c r="E27" i="41"/>
  <c r="B20" i="43"/>
  <c r="E27" i="39"/>
  <c r="E27" i="40"/>
  <c r="B15" i="43"/>
  <c r="E26" i="39"/>
  <c r="E26" i="41"/>
  <c r="E26" i="42"/>
  <c r="E26" i="40"/>
  <c r="K77" i="14"/>
  <c r="M77" i="14" s="1"/>
  <c r="E26" i="6"/>
  <c r="E30" i="6"/>
  <c r="E27" i="6"/>
  <c r="E25" i="6"/>
  <c r="E29" i="6"/>
  <c r="E31" i="6"/>
  <c r="F1" i="43" l="1"/>
  <c r="E20" i="16"/>
  <c r="C20" i="16" s="1"/>
  <c r="K92" i="47"/>
  <c r="K94" i="47"/>
  <c r="K95" i="47" s="1"/>
  <c r="F6" i="43"/>
  <c r="E1" i="43"/>
  <c r="E6" i="43"/>
  <c r="E14" i="43"/>
  <c r="E15" i="43" s="1"/>
  <c r="F15" i="16"/>
  <c r="D20" i="38"/>
  <c r="D22" i="38" s="1"/>
  <c r="K88" i="36"/>
  <c r="F93" i="6" s="1"/>
  <c r="K96" i="37"/>
  <c r="K107" i="37" s="1"/>
  <c r="K86" i="36"/>
  <c r="M86" i="36" s="1"/>
  <c r="J73" i="36" s="1"/>
  <c r="K99" i="37"/>
  <c r="K108" i="37" s="1"/>
  <c r="F22" i="38"/>
  <c r="E93" i="6"/>
  <c r="K87" i="13"/>
  <c r="K88" i="13" s="1"/>
  <c r="E33" i="5"/>
  <c r="E30" i="36"/>
  <c r="K85" i="13"/>
  <c r="K86" i="13" s="1"/>
  <c r="C22" i="38"/>
  <c r="E89" i="6"/>
  <c r="E29" i="34"/>
  <c r="D68" i="34" s="1"/>
  <c r="E71" i="34" s="1"/>
  <c r="F71" i="34" s="1"/>
  <c r="K71" i="34" s="1"/>
  <c r="E30" i="34"/>
  <c r="D81" i="34" s="1"/>
  <c r="E85" i="6"/>
  <c r="E92" i="6"/>
  <c r="K84" i="35"/>
  <c r="M84" i="35" s="1"/>
  <c r="J65" i="35" s="1"/>
  <c r="K65" i="35" s="1"/>
  <c r="E86" i="6"/>
  <c r="E84" i="6"/>
  <c r="I30" i="5" s="1"/>
  <c r="J35" i="5" s="1"/>
  <c r="E28" i="50"/>
  <c r="E29" i="50" s="1"/>
  <c r="E90" i="6"/>
  <c r="E91" i="6"/>
  <c r="I31" i="5"/>
  <c r="I14" i="5"/>
  <c r="G33" i="5"/>
  <c r="I32" i="5"/>
  <c r="I15" i="5"/>
  <c r="E31" i="5"/>
  <c r="E14" i="5"/>
  <c r="H14" i="5"/>
  <c r="H31" i="5"/>
  <c r="I13" i="5"/>
  <c r="J18" i="5" s="1"/>
  <c r="E61" i="6"/>
  <c r="E59" i="6"/>
  <c r="E54" i="6"/>
  <c r="E55" i="6"/>
  <c r="K84" i="40"/>
  <c r="M84" i="40" s="1"/>
  <c r="E58" i="6"/>
  <c r="E53" i="6"/>
  <c r="E60" i="6"/>
  <c r="E52" i="6"/>
  <c r="E57" i="6"/>
  <c r="F1" i="53"/>
  <c r="F14" i="53"/>
  <c r="F6" i="53"/>
  <c r="K75" i="15"/>
  <c r="C22" i="16"/>
  <c r="K84" i="46"/>
  <c r="C22" i="48"/>
  <c r="F22" i="16"/>
  <c r="D20" i="16"/>
  <c r="K77" i="15"/>
  <c r="K76" i="15"/>
  <c r="E29" i="41"/>
  <c r="E30" i="41"/>
  <c r="E28" i="52"/>
  <c r="E29" i="52"/>
  <c r="M85" i="36"/>
  <c r="F91" i="6"/>
  <c r="F89" i="6"/>
  <c r="K92" i="42"/>
  <c r="E29" i="51"/>
  <c r="E28" i="51"/>
  <c r="J74" i="45"/>
  <c r="K74" i="45" s="1"/>
  <c r="J77" i="45"/>
  <c r="K77" i="45" s="1"/>
  <c r="J60" i="45"/>
  <c r="J75" i="45"/>
  <c r="K75" i="45" s="1"/>
  <c r="J65" i="45"/>
  <c r="K65" i="45" s="1"/>
  <c r="J73" i="45"/>
  <c r="J62" i="45"/>
  <c r="K62" i="45" s="1"/>
  <c r="J64" i="45"/>
  <c r="K64" i="45" s="1"/>
  <c r="J61" i="45"/>
  <c r="K61" i="45" s="1"/>
  <c r="E30" i="40"/>
  <c r="E29" i="40"/>
  <c r="E41" i="6"/>
  <c r="E45" i="6"/>
  <c r="E40" i="6"/>
  <c r="K77" i="51"/>
  <c r="M77" i="51" s="1"/>
  <c r="E44" i="6"/>
  <c r="E43" i="6"/>
  <c r="E39" i="6"/>
  <c r="E75" i="12"/>
  <c r="F75" i="12" s="1"/>
  <c r="K75" i="12" s="1"/>
  <c r="L75" i="12" s="1"/>
  <c r="E76" i="12"/>
  <c r="F76" i="12" s="1"/>
  <c r="K76" i="12" s="1"/>
  <c r="E73" i="12"/>
  <c r="E74" i="12"/>
  <c r="F74" i="12" s="1"/>
  <c r="K74" i="12" s="1"/>
  <c r="F20" i="43"/>
  <c r="F15" i="43"/>
  <c r="F20" i="48"/>
  <c r="F15" i="48"/>
  <c r="J56" i="14"/>
  <c r="J57" i="14"/>
  <c r="K57" i="14" s="1"/>
  <c r="J58" i="14"/>
  <c r="K58" i="14" s="1"/>
  <c r="J68" i="14"/>
  <c r="K68" i="14" s="1"/>
  <c r="J69" i="14"/>
  <c r="K69" i="14" s="1"/>
  <c r="J67" i="14"/>
  <c r="E85" i="44"/>
  <c r="F85" i="44" s="1"/>
  <c r="K85" i="44" s="1"/>
  <c r="E82" i="44"/>
  <c r="F82" i="44" s="1"/>
  <c r="K82" i="44" s="1"/>
  <c r="E83" i="44"/>
  <c r="F83" i="44" s="1"/>
  <c r="K83" i="44" s="1"/>
  <c r="L83" i="44" s="1"/>
  <c r="E81" i="44"/>
  <c r="E84" i="44"/>
  <c r="F84" i="44" s="1"/>
  <c r="K84" i="44" s="1"/>
  <c r="E29" i="39"/>
  <c r="E30" i="39"/>
  <c r="D81" i="39" s="1"/>
  <c r="D68" i="44"/>
  <c r="E15" i="53"/>
  <c r="E20" i="53"/>
  <c r="C20" i="53" s="1"/>
  <c r="E27" i="49"/>
  <c r="E28" i="49"/>
  <c r="D73" i="49" s="1"/>
  <c r="K94" i="42"/>
  <c r="K95" i="42" s="1"/>
  <c r="D63" i="6"/>
  <c r="E64" i="12"/>
  <c r="F64" i="12" s="1"/>
  <c r="K64" i="12" s="1"/>
  <c r="E62" i="12"/>
  <c r="E65" i="12"/>
  <c r="F65" i="12" s="1"/>
  <c r="K65" i="12" s="1"/>
  <c r="E63" i="12"/>
  <c r="F63" i="12" s="1"/>
  <c r="K63" i="12" s="1"/>
  <c r="L63" i="12" s="1"/>
  <c r="M84" i="36"/>
  <c r="J62" i="36" s="1"/>
  <c r="K62" i="36" s="1"/>
  <c r="F90" i="6"/>
  <c r="K99" i="47" l="1"/>
  <c r="K108" i="47" s="1"/>
  <c r="K93" i="47"/>
  <c r="K96" i="47" s="1"/>
  <c r="K107" i="47" s="1"/>
  <c r="E20" i="43"/>
  <c r="C20" i="43" s="1"/>
  <c r="C22" i="43" s="1"/>
  <c r="K87" i="36"/>
  <c r="F85" i="6" s="1"/>
  <c r="M88" i="36"/>
  <c r="J65" i="36" s="1"/>
  <c r="K65" i="36" s="1"/>
  <c r="F92" i="6"/>
  <c r="F87" i="6"/>
  <c r="F86" i="6"/>
  <c r="K109" i="37"/>
  <c r="G107" i="6" s="1"/>
  <c r="K89" i="13"/>
  <c r="K98" i="13" s="1"/>
  <c r="K90" i="13"/>
  <c r="K99" i="13" s="1"/>
  <c r="E70" i="34"/>
  <c r="F70" i="34" s="1"/>
  <c r="K70" i="34" s="1"/>
  <c r="L70" i="34" s="1"/>
  <c r="J61" i="35"/>
  <c r="K61" i="35" s="1"/>
  <c r="J64" i="35"/>
  <c r="K64" i="35" s="1"/>
  <c r="E68" i="34"/>
  <c r="F68" i="34" s="1"/>
  <c r="K68" i="34" s="1"/>
  <c r="J77" i="35"/>
  <c r="K77" i="35" s="1"/>
  <c r="E69" i="34"/>
  <c r="F69" i="34" s="1"/>
  <c r="K69" i="34" s="1"/>
  <c r="L69" i="34" s="1"/>
  <c r="J62" i="35"/>
  <c r="K62" i="35" s="1"/>
  <c r="E72" i="34"/>
  <c r="F72" i="34" s="1"/>
  <c r="K72" i="34" s="1"/>
  <c r="L72" i="34" s="1"/>
  <c r="E81" i="34"/>
  <c r="E84" i="34"/>
  <c r="F84" i="34" s="1"/>
  <c r="K84" i="34" s="1"/>
  <c r="L84" i="34" s="1"/>
  <c r="E83" i="34"/>
  <c r="F83" i="34" s="1"/>
  <c r="K83" i="34" s="1"/>
  <c r="L83" i="34" s="1"/>
  <c r="E85" i="34"/>
  <c r="F85" i="34" s="1"/>
  <c r="K85" i="34" s="1"/>
  <c r="L85" i="34" s="1"/>
  <c r="E82" i="34"/>
  <c r="F82" i="34" s="1"/>
  <c r="K82" i="34" s="1"/>
  <c r="L82" i="34" s="1"/>
  <c r="E73" i="34"/>
  <c r="F73" i="34" s="1"/>
  <c r="K73" i="34" s="1"/>
  <c r="L73" i="34" s="1"/>
  <c r="J60" i="35"/>
  <c r="K60" i="35" s="1"/>
  <c r="J75" i="35"/>
  <c r="K75" i="35" s="1"/>
  <c r="J73" i="35"/>
  <c r="K73" i="35" s="1"/>
  <c r="J74" i="35"/>
  <c r="K74" i="35" s="1"/>
  <c r="C69" i="50"/>
  <c r="C71" i="50"/>
  <c r="C72" i="50"/>
  <c r="C70" i="50"/>
  <c r="D66" i="50"/>
  <c r="E47" i="6" s="1"/>
  <c r="C66" i="50"/>
  <c r="E66" i="50"/>
  <c r="F47" i="6" s="1"/>
  <c r="F66" i="50"/>
  <c r="G13" i="5"/>
  <c r="G14" i="5"/>
  <c r="G31" i="5"/>
  <c r="E32" i="5"/>
  <c r="E15" i="5"/>
  <c r="E30" i="5"/>
  <c r="I34" i="5"/>
  <c r="H30" i="5"/>
  <c r="I35" i="5" s="1"/>
  <c r="H32" i="5"/>
  <c r="H15" i="5"/>
  <c r="E13" i="5"/>
  <c r="F31" i="5"/>
  <c r="F14" i="5"/>
  <c r="I17" i="5"/>
  <c r="H13" i="5"/>
  <c r="E87" i="44"/>
  <c r="F81" i="44"/>
  <c r="K81" i="44" s="1"/>
  <c r="K67" i="14"/>
  <c r="K72" i="14" s="1"/>
  <c r="K93" i="14"/>
  <c r="L76" i="12"/>
  <c r="J68" i="51"/>
  <c r="K68" i="51" s="1"/>
  <c r="J58" i="51"/>
  <c r="K58" i="51" s="1"/>
  <c r="J67" i="51"/>
  <c r="J56" i="51"/>
  <c r="J57" i="51"/>
  <c r="K57" i="51" s="1"/>
  <c r="J69" i="51"/>
  <c r="K69" i="51" s="1"/>
  <c r="L71" i="34"/>
  <c r="J60" i="36"/>
  <c r="J61" i="36"/>
  <c r="K61" i="36" s="1"/>
  <c r="F27" i="6"/>
  <c r="M77" i="15"/>
  <c r="J67" i="15" s="1"/>
  <c r="E83" i="39"/>
  <c r="F83" i="39" s="1"/>
  <c r="K83" i="39" s="1"/>
  <c r="E84" i="39"/>
  <c r="F84" i="39" s="1"/>
  <c r="K84" i="39" s="1"/>
  <c r="E85" i="39"/>
  <c r="F85" i="39" s="1"/>
  <c r="K85" i="39" s="1"/>
  <c r="E82" i="39"/>
  <c r="F82" i="39" s="1"/>
  <c r="K82" i="39" s="1"/>
  <c r="E81" i="39"/>
  <c r="K91" i="14"/>
  <c r="K56" i="14"/>
  <c r="K61" i="14" s="1"/>
  <c r="K88" i="41"/>
  <c r="K86" i="41"/>
  <c r="K85" i="41"/>
  <c r="F22" i="43"/>
  <c r="D20" i="43"/>
  <c r="K60" i="45"/>
  <c r="K67" i="45" s="1"/>
  <c r="K97" i="45"/>
  <c r="D22" i="16"/>
  <c r="K78" i="15"/>
  <c r="M84" i="46"/>
  <c r="J62" i="46" s="1"/>
  <c r="K62" i="46" s="1"/>
  <c r="F74" i="6"/>
  <c r="M75" i="15"/>
  <c r="J58" i="15" s="1"/>
  <c r="K58" i="15" s="1"/>
  <c r="F30" i="6"/>
  <c r="L65" i="12"/>
  <c r="D62" i="49"/>
  <c r="F84" i="6"/>
  <c r="L64" i="12"/>
  <c r="E73" i="44"/>
  <c r="F73" i="44" s="1"/>
  <c r="K73" i="44" s="1"/>
  <c r="L73" i="44" s="1"/>
  <c r="E70" i="44"/>
  <c r="F70" i="44" s="1"/>
  <c r="K70" i="44" s="1"/>
  <c r="E72" i="44"/>
  <c r="F72" i="44" s="1"/>
  <c r="K72" i="44" s="1"/>
  <c r="E71" i="44"/>
  <c r="F71" i="44" s="1"/>
  <c r="K71" i="44" s="1"/>
  <c r="E69" i="44"/>
  <c r="F69" i="44" s="1"/>
  <c r="K69" i="44" s="1"/>
  <c r="E68" i="44"/>
  <c r="D68" i="39"/>
  <c r="L82" i="44"/>
  <c r="L74" i="12"/>
  <c r="K73" i="36"/>
  <c r="K99" i="45"/>
  <c r="K73" i="45"/>
  <c r="K79" i="45" s="1"/>
  <c r="K99" i="42"/>
  <c r="K108" i="42" s="1"/>
  <c r="K93" i="42"/>
  <c r="K96" i="42" s="1"/>
  <c r="K107" i="42" s="1"/>
  <c r="J75" i="40"/>
  <c r="K75" i="40" s="1"/>
  <c r="J61" i="40"/>
  <c r="K61" i="40" s="1"/>
  <c r="J62" i="40"/>
  <c r="K62" i="40" s="1"/>
  <c r="J64" i="40"/>
  <c r="K64" i="40" s="1"/>
  <c r="J74" i="40"/>
  <c r="K74" i="40" s="1"/>
  <c r="J60" i="40"/>
  <c r="J77" i="40"/>
  <c r="K77" i="40" s="1"/>
  <c r="J73" i="40"/>
  <c r="J65" i="40"/>
  <c r="K65" i="40" s="1"/>
  <c r="F62" i="12"/>
  <c r="K62" i="12" s="1"/>
  <c r="E67" i="12"/>
  <c r="E75" i="49"/>
  <c r="F75" i="49" s="1"/>
  <c r="K75" i="49" s="1"/>
  <c r="E76" i="49"/>
  <c r="F76" i="49" s="1"/>
  <c r="K76" i="49" s="1"/>
  <c r="E74" i="49"/>
  <c r="F74" i="49" s="1"/>
  <c r="K74" i="49" s="1"/>
  <c r="L74" i="49" s="1"/>
  <c r="E73" i="49"/>
  <c r="K75" i="52"/>
  <c r="C22" i="53"/>
  <c r="L84" i="44"/>
  <c r="L85" i="44"/>
  <c r="K86" i="46"/>
  <c r="D20" i="48"/>
  <c r="K88" i="46"/>
  <c r="K85" i="46"/>
  <c r="F22" i="48"/>
  <c r="E78" i="12"/>
  <c r="F73" i="12"/>
  <c r="K73" i="12" s="1"/>
  <c r="F31" i="6"/>
  <c r="M76" i="15"/>
  <c r="F29" i="6"/>
  <c r="F20" i="53"/>
  <c r="F15" i="53"/>
  <c r="K109" i="47" l="1"/>
  <c r="G106" i="6" s="1"/>
  <c r="K84" i="41"/>
  <c r="F58" i="6" s="1"/>
  <c r="J77" i="36"/>
  <c r="K77" i="36" s="1"/>
  <c r="J64" i="36"/>
  <c r="K64" i="36" s="1"/>
  <c r="M87" i="36"/>
  <c r="J75" i="36" s="1"/>
  <c r="K75" i="36" s="1"/>
  <c r="K100" i="13"/>
  <c r="G103" i="6" s="1"/>
  <c r="K67" i="35"/>
  <c r="K99" i="35"/>
  <c r="E75" i="34"/>
  <c r="K97" i="35"/>
  <c r="K79" i="35"/>
  <c r="F81" i="34"/>
  <c r="K81" i="34" s="1"/>
  <c r="L81" i="34" s="1"/>
  <c r="L87" i="34" s="1"/>
  <c r="E87" i="34"/>
  <c r="D47" i="6"/>
  <c r="K87" i="50"/>
  <c r="K88" i="50" s="1"/>
  <c r="F33" i="5"/>
  <c r="F16" i="5"/>
  <c r="K85" i="50"/>
  <c r="H17" i="5"/>
  <c r="H18" i="5"/>
  <c r="I18" i="5"/>
  <c r="F15" i="5"/>
  <c r="F30" i="5"/>
  <c r="F32" i="5"/>
  <c r="F13" i="5"/>
  <c r="G18" i="5" s="1"/>
  <c r="E34" i="5"/>
  <c r="G17" i="5"/>
  <c r="E17" i="5"/>
  <c r="H34" i="5"/>
  <c r="G30" i="5"/>
  <c r="H35" i="5" s="1"/>
  <c r="G32" i="5"/>
  <c r="G15" i="5"/>
  <c r="K109" i="42"/>
  <c r="G105" i="6" s="1"/>
  <c r="K92" i="14"/>
  <c r="K98" i="45"/>
  <c r="K96" i="14"/>
  <c r="K105" i="14" s="1"/>
  <c r="L76" i="49"/>
  <c r="F71" i="6"/>
  <c r="F76" i="6"/>
  <c r="M88" i="46"/>
  <c r="F77" i="6"/>
  <c r="F22" i="53"/>
  <c r="K76" i="52"/>
  <c r="K77" i="52"/>
  <c r="D20" i="53"/>
  <c r="F70" i="6"/>
  <c r="M86" i="46"/>
  <c r="J73" i="46" s="1"/>
  <c r="L62" i="12"/>
  <c r="L67" i="12" s="1"/>
  <c r="N63" i="12" s="1"/>
  <c r="K97" i="40"/>
  <c r="K60" i="40"/>
  <c r="K67" i="40" s="1"/>
  <c r="K100" i="45"/>
  <c r="M84" i="41"/>
  <c r="J62" i="41" s="1"/>
  <c r="K62" i="41" s="1"/>
  <c r="E75" i="44"/>
  <c r="F68" i="44"/>
  <c r="K68" i="44" s="1"/>
  <c r="L70" i="44"/>
  <c r="K102" i="45"/>
  <c r="K113" i="45" s="1"/>
  <c r="D22" i="43"/>
  <c r="K87" i="41"/>
  <c r="F60" i="6"/>
  <c r="F61" i="6"/>
  <c r="F55" i="6"/>
  <c r="M88" i="41"/>
  <c r="L82" i="39"/>
  <c r="K60" i="36"/>
  <c r="K94" i="14"/>
  <c r="F75" i="6"/>
  <c r="M85" i="46"/>
  <c r="F73" i="6"/>
  <c r="L69" i="44"/>
  <c r="E65" i="49"/>
  <c r="F65" i="49" s="1"/>
  <c r="K65" i="49" s="1"/>
  <c r="L65" i="49" s="1"/>
  <c r="E62" i="49"/>
  <c r="E64" i="49"/>
  <c r="F64" i="49" s="1"/>
  <c r="K64" i="49" s="1"/>
  <c r="E63" i="49"/>
  <c r="F63" i="49" s="1"/>
  <c r="K63" i="49" s="1"/>
  <c r="K67" i="15"/>
  <c r="L81" i="44"/>
  <c r="L87" i="44" s="1"/>
  <c r="N83" i="44" s="1"/>
  <c r="L73" i="12"/>
  <c r="L78" i="12" s="1"/>
  <c r="N73" i="12" s="1"/>
  <c r="F44" i="6"/>
  <c r="M75" i="52"/>
  <c r="J58" i="52" s="1"/>
  <c r="K58" i="52" s="1"/>
  <c r="L71" i="44"/>
  <c r="F26" i="6"/>
  <c r="F25" i="6"/>
  <c r="M78" i="15"/>
  <c r="F57" i="6"/>
  <c r="F59" i="6"/>
  <c r="M85" i="41"/>
  <c r="L84" i="39"/>
  <c r="L68" i="34"/>
  <c r="L75" i="34" s="1"/>
  <c r="K67" i="51"/>
  <c r="K72" i="51" s="1"/>
  <c r="K93" i="51"/>
  <c r="L85" i="39"/>
  <c r="K56" i="51"/>
  <c r="K61" i="51" s="1"/>
  <c r="K91" i="51"/>
  <c r="J57" i="15"/>
  <c r="K57" i="15" s="1"/>
  <c r="J56" i="15"/>
  <c r="L75" i="49"/>
  <c r="K99" i="40"/>
  <c r="K73" i="40"/>
  <c r="K79" i="40" s="1"/>
  <c r="D22" i="48"/>
  <c r="K87" i="46"/>
  <c r="F73" i="49"/>
  <c r="K73" i="49" s="1"/>
  <c r="E78" i="49"/>
  <c r="E73" i="39"/>
  <c r="F73" i="39" s="1"/>
  <c r="K73" i="39" s="1"/>
  <c r="E69" i="39"/>
  <c r="F69" i="39" s="1"/>
  <c r="K69" i="39" s="1"/>
  <c r="E71" i="39"/>
  <c r="F71" i="39" s="1"/>
  <c r="K71" i="39" s="1"/>
  <c r="E68" i="39"/>
  <c r="E72" i="39"/>
  <c r="F72" i="39" s="1"/>
  <c r="K72" i="39" s="1"/>
  <c r="E70" i="39"/>
  <c r="F70" i="39" s="1"/>
  <c r="K70" i="39" s="1"/>
  <c r="L72" i="44"/>
  <c r="M86" i="41"/>
  <c r="J73" i="41" s="1"/>
  <c r="F54" i="6"/>
  <c r="F81" i="39"/>
  <c r="K81" i="39" s="1"/>
  <c r="L81" i="39" s="1"/>
  <c r="E87" i="39"/>
  <c r="L83" i="39"/>
  <c r="K100" i="36" l="1"/>
  <c r="K67" i="36"/>
  <c r="J74" i="36"/>
  <c r="K74" i="36" s="1"/>
  <c r="K79" i="36" s="1"/>
  <c r="N84" i="34"/>
  <c r="O84" i="34" s="1"/>
  <c r="K98" i="35"/>
  <c r="N85" i="34"/>
  <c r="D87" i="6" s="1"/>
  <c r="N69" i="34"/>
  <c r="O69" i="34" s="1"/>
  <c r="K100" i="35"/>
  <c r="N82" i="34"/>
  <c r="D85" i="6" s="1"/>
  <c r="K102" i="35"/>
  <c r="K113" i="35" s="1"/>
  <c r="N83" i="34"/>
  <c r="D84" i="6" s="1"/>
  <c r="N81" i="34"/>
  <c r="K86" i="50"/>
  <c r="K89" i="50" s="1"/>
  <c r="K98" i="50" s="1"/>
  <c r="K90" i="50"/>
  <c r="K99" i="50" s="1"/>
  <c r="F34" i="5"/>
  <c r="F35" i="5"/>
  <c r="F17" i="5"/>
  <c r="F18" i="5"/>
  <c r="G34" i="5"/>
  <c r="G35" i="5"/>
  <c r="K95" i="14"/>
  <c r="K104" i="14" s="1"/>
  <c r="K106" i="14" s="1"/>
  <c r="E103" i="6" s="1"/>
  <c r="K101" i="45"/>
  <c r="K112" i="45" s="1"/>
  <c r="K114" i="45" s="1"/>
  <c r="E106" i="6" s="1"/>
  <c r="K96" i="51"/>
  <c r="K105" i="51" s="1"/>
  <c r="N65" i="12"/>
  <c r="O65" i="12" s="1"/>
  <c r="N62" i="12"/>
  <c r="O62" i="12" s="1"/>
  <c r="K102" i="40"/>
  <c r="K113" i="40" s="1"/>
  <c r="N70" i="34"/>
  <c r="O70" i="34" s="1"/>
  <c r="N71" i="34"/>
  <c r="O71" i="34" s="1"/>
  <c r="K100" i="40"/>
  <c r="K94" i="51"/>
  <c r="N68" i="34"/>
  <c r="O68" i="34" s="1"/>
  <c r="D68" i="6"/>
  <c r="O83" i="44"/>
  <c r="L72" i="39"/>
  <c r="F45" i="6"/>
  <c r="F43" i="6"/>
  <c r="M76" i="52"/>
  <c r="F68" i="39"/>
  <c r="K68" i="39" s="1"/>
  <c r="E75" i="39"/>
  <c r="K91" i="15"/>
  <c r="K56" i="15"/>
  <c r="K61" i="15" s="1"/>
  <c r="J68" i="15"/>
  <c r="J69" i="15"/>
  <c r="K69" i="15" s="1"/>
  <c r="D27" i="6"/>
  <c r="O73" i="12"/>
  <c r="L63" i="49"/>
  <c r="L68" i="44"/>
  <c r="L75" i="44" s="1"/>
  <c r="N68" i="44" s="1"/>
  <c r="K73" i="41"/>
  <c r="L73" i="39"/>
  <c r="J64" i="41"/>
  <c r="K64" i="41" s="1"/>
  <c r="J65" i="41"/>
  <c r="K65" i="41" s="1"/>
  <c r="J77" i="41"/>
  <c r="K77" i="41" s="1"/>
  <c r="L87" i="39"/>
  <c r="N83" i="39" s="1"/>
  <c r="L71" i="39"/>
  <c r="L73" i="49"/>
  <c r="L78" i="49" s="1"/>
  <c r="N74" i="49" s="1"/>
  <c r="K92" i="51"/>
  <c r="J61" i="41"/>
  <c r="K61" i="41" s="1"/>
  <c r="J60" i="41"/>
  <c r="N75" i="12"/>
  <c r="N76" i="12"/>
  <c r="O76" i="12" s="1"/>
  <c r="L64" i="49"/>
  <c r="J60" i="46"/>
  <c r="J61" i="46"/>
  <c r="K61" i="46" s="1"/>
  <c r="O63" i="12"/>
  <c r="D31" i="6"/>
  <c r="K78" i="52"/>
  <c r="D22" i="53"/>
  <c r="N73" i="34"/>
  <c r="O73" i="34" s="1"/>
  <c r="N64" i="12"/>
  <c r="N84" i="44"/>
  <c r="O84" i="44" s="1"/>
  <c r="N85" i="44"/>
  <c r="N82" i="44"/>
  <c r="F52" i="6"/>
  <c r="M87" i="41"/>
  <c r="F53" i="6"/>
  <c r="L70" i="39"/>
  <c r="L69" i="39"/>
  <c r="M87" i="46"/>
  <c r="F68" i="6"/>
  <c r="F69" i="6"/>
  <c r="N72" i="34"/>
  <c r="N81" i="44"/>
  <c r="E67" i="49"/>
  <c r="F62" i="49"/>
  <c r="K62" i="49" s="1"/>
  <c r="K98" i="40"/>
  <c r="K73" i="46"/>
  <c r="F41" i="6"/>
  <c r="M77" i="52"/>
  <c r="J67" i="52" s="1"/>
  <c r="J64" i="46"/>
  <c r="K64" i="46" s="1"/>
  <c r="J65" i="46"/>
  <c r="K65" i="46" s="1"/>
  <c r="J77" i="46"/>
  <c r="K77" i="46" s="1"/>
  <c r="N74" i="12"/>
  <c r="K101" i="36" l="1"/>
  <c r="K102" i="36"/>
  <c r="K105" i="36" s="1"/>
  <c r="K116" i="36" s="1"/>
  <c r="O85" i="34"/>
  <c r="D91" i="6"/>
  <c r="K103" i="34"/>
  <c r="K104" i="34" s="1"/>
  <c r="K101" i="35"/>
  <c r="K112" i="35" s="1"/>
  <c r="K114" i="35" s="1"/>
  <c r="E107" i="6" s="1"/>
  <c r="O82" i="34"/>
  <c r="D90" i="6"/>
  <c r="K95" i="51"/>
  <c r="K104" i="51" s="1"/>
  <c r="K106" i="51" s="1"/>
  <c r="E104" i="6" s="1"/>
  <c r="O83" i="34"/>
  <c r="D86" i="6"/>
  <c r="O81" i="34"/>
  <c r="K100" i="50"/>
  <c r="G104" i="6" s="1"/>
  <c r="K90" i="12"/>
  <c r="K91" i="12" s="1"/>
  <c r="D92" i="6"/>
  <c r="K101" i="40"/>
  <c r="K112" i="40" s="1"/>
  <c r="K114" i="40" s="1"/>
  <c r="E105" i="6" s="1"/>
  <c r="D29" i="6"/>
  <c r="N82" i="39"/>
  <c r="O82" i="39" s="1"/>
  <c r="D89" i="6"/>
  <c r="N73" i="49"/>
  <c r="D41" i="6" s="1"/>
  <c r="D52" i="6"/>
  <c r="O83" i="39"/>
  <c r="D73" i="6"/>
  <c r="O68" i="44"/>
  <c r="L62" i="49"/>
  <c r="L67" i="49" s="1"/>
  <c r="N62" i="49" s="1"/>
  <c r="J75" i="41"/>
  <c r="K75" i="41" s="1"/>
  <c r="J74" i="41"/>
  <c r="D25" i="6"/>
  <c r="O75" i="12"/>
  <c r="O74" i="12"/>
  <c r="D26" i="6"/>
  <c r="D70" i="6"/>
  <c r="O81" i="44"/>
  <c r="J75" i="46"/>
  <c r="K75" i="46" s="1"/>
  <c r="J74" i="46"/>
  <c r="D69" i="6"/>
  <c r="O82" i="44"/>
  <c r="L68" i="39"/>
  <c r="L75" i="39" s="1"/>
  <c r="N68" i="39" s="1"/>
  <c r="N75" i="49"/>
  <c r="K103" i="44"/>
  <c r="K104" i="44" s="1"/>
  <c r="D71" i="6"/>
  <c r="O85" i="44"/>
  <c r="N76" i="49"/>
  <c r="O76" i="49" s="1"/>
  <c r="N73" i="44"/>
  <c r="O73" i="44" s="1"/>
  <c r="N70" i="44"/>
  <c r="N69" i="44"/>
  <c r="N72" i="44"/>
  <c r="N71" i="44"/>
  <c r="K68" i="15"/>
  <c r="K72" i="15" s="1"/>
  <c r="K93" i="15"/>
  <c r="K96" i="15" s="1"/>
  <c r="K105" i="15" s="1"/>
  <c r="K92" i="15"/>
  <c r="J56" i="52"/>
  <c r="J57" i="52"/>
  <c r="K57" i="52" s="1"/>
  <c r="K100" i="46"/>
  <c r="K60" i="46"/>
  <c r="K67" i="46" s="1"/>
  <c r="N81" i="39"/>
  <c r="N84" i="39"/>
  <c r="O84" i="39" s="1"/>
  <c r="N85" i="39"/>
  <c r="K67" i="52"/>
  <c r="O72" i="34"/>
  <c r="O75" i="34" s="1"/>
  <c r="D93" i="6"/>
  <c r="M78" i="52"/>
  <c r="F40" i="6"/>
  <c r="F39" i="6"/>
  <c r="D30" i="6"/>
  <c r="O64" i="12"/>
  <c r="O67" i="12" s="1"/>
  <c r="K100" i="41"/>
  <c r="K60" i="41"/>
  <c r="K67" i="41" s="1"/>
  <c r="O74" i="49"/>
  <c r="D40" i="6"/>
  <c r="K92" i="12"/>
  <c r="K93" i="12" s="1"/>
  <c r="K101" i="34"/>
  <c r="K103" i="36" l="1"/>
  <c r="K104" i="36" s="1"/>
  <c r="K115" i="36" s="1"/>
  <c r="K117" i="36" s="1"/>
  <c r="F107" i="6" s="1"/>
  <c r="O87" i="34"/>
  <c r="N63" i="49"/>
  <c r="D45" i="6" s="1"/>
  <c r="D53" i="6"/>
  <c r="K94" i="15"/>
  <c r="K95" i="15" s="1"/>
  <c r="K104" i="15" s="1"/>
  <c r="K106" i="15" s="1"/>
  <c r="F103" i="6" s="1"/>
  <c r="K101" i="46"/>
  <c r="K92" i="49"/>
  <c r="K93" i="49" s="1"/>
  <c r="O78" i="12"/>
  <c r="N65" i="49"/>
  <c r="O65" i="49" s="1"/>
  <c r="O73" i="49"/>
  <c r="N64" i="49"/>
  <c r="D44" i="6" s="1"/>
  <c r="K95" i="12"/>
  <c r="K104" i="12" s="1"/>
  <c r="O81" i="39"/>
  <c r="D54" i="6"/>
  <c r="K103" i="39"/>
  <c r="K104" i="39" s="1"/>
  <c r="K74" i="46"/>
  <c r="K79" i="46" s="1"/>
  <c r="K102" i="46"/>
  <c r="K105" i="46" s="1"/>
  <c r="K116" i="46" s="1"/>
  <c r="K101" i="41"/>
  <c r="J69" i="52"/>
  <c r="K69" i="52" s="1"/>
  <c r="J68" i="52"/>
  <c r="O85" i="39"/>
  <c r="D55" i="6"/>
  <c r="K101" i="44"/>
  <c r="O69" i="44"/>
  <c r="D75" i="6"/>
  <c r="D57" i="6"/>
  <c r="O68" i="39"/>
  <c r="O87" i="44"/>
  <c r="K74" i="41"/>
  <c r="K79" i="41" s="1"/>
  <c r="K102" i="41"/>
  <c r="K105" i="41" s="1"/>
  <c r="K116" i="41" s="1"/>
  <c r="K108" i="34"/>
  <c r="K117" i="34" s="1"/>
  <c r="K102" i="34"/>
  <c r="K105" i="34" s="1"/>
  <c r="K116" i="34" s="1"/>
  <c r="K56" i="52"/>
  <c r="K61" i="52" s="1"/>
  <c r="K91" i="52"/>
  <c r="O70" i="44"/>
  <c r="D74" i="6"/>
  <c r="N70" i="39"/>
  <c r="N69" i="39"/>
  <c r="N73" i="39"/>
  <c r="O73" i="39" s="1"/>
  <c r="N71" i="39"/>
  <c r="N72" i="39"/>
  <c r="O71" i="44"/>
  <c r="D76" i="6"/>
  <c r="O62" i="49"/>
  <c r="D43" i="6"/>
  <c r="K94" i="12"/>
  <c r="K103" i="12" s="1"/>
  <c r="O72" i="44"/>
  <c r="D77" i="6"/>
  <c r="O75" i="49"/>
  <c r="D39" i="6"/>
  <c r="O63" i="49" l="1"/>
  <c r="O78" i="49"/>
  <c r="K92" i="52"/>
  <c r="K90" i="49"/>
  <c r="K95" i="49" s="1"/>
  <c r="K104" i="49" s="1"/>
  <c r="O64" i="49"/>
  <c r="K105" i="12"/>
  <c r="D103" i="6" s="1"/>
  <c r="O87" i="39"/>
  <c r="O75" i="44"/>
  <c r="K103" i="41"/>
  <c r="K104" i="41" s="1"/>
  <c r="K115" i="41" s="1"/>
  <c r="K117" i="41" s="1"/>
  <c r="F105" i="6" s="1"/>
  <c r="D59" i="6"/>
  <c r="O69" i="39"/>
  <c r="K103" i="46"/>
  <c r="K104" i="46" s="1"/>
  <c r="K115" i="46" s="1"/>
  <c r="K117" i="46" s="1"/>
  <c r="F106" i="6" s="1"/>
  <c r="D61" i="6"/>
  <c r="O72" i="39"/>
  <c r="O70" i="39"/>
  <c r="D58" i="6"/>
  <c r="K101" i="39"/>
  <c r="K68" i="52"/>
  <c r="K72" i="52" s="1"/>
  <c r="K93" i="52"/>
  <c r="K96" i="52" s="1"/>
  <c r="K105" i="52" s="1"/>
  <c r="D60" i="6"/>
  <c r="O71" i="39"/>
  <c r="K118" i="34"/>
  <c r="D107" i="6" s="1"/>
  <c r="K108" i="44"/>
  <c r="K117" i="44" s="1"/>
  <c r="K102" i="44"/>
  <c r="K105" i="44" s="1"/>
  <c r="K116" i="44" s="1"/>
  <c r="O67" i="49" l="1"/>
  <c r="K91" i="49"/>
  <c r="K94" i="49" s="1"/>
  <c r="K103" i="49" s="1"/>
  <c r="K105" i="49" s="1"/>
  <c r="D104" i="6" s="1"/>
  <c r="K94" i="52"/>
  <c r="K95" i="52" s="1"/>
  <c r="K104" i="52" s="1"/>
  <c r="K106" i="52" s="1"/>
  <c r="F104" i="6" s="1"/>
  <c r="K118" i="44"/>
  <c r="D106" i="6" s="1"/>
  <c r="O75" i="39"/>
  <c r="K108" i="39"/>
  <c r="K117" i="39" s="1"/>
  <c r="K102" i="39"/>
  <c r="K105" i="39" s="1"/>
  <c r="K116" i="39" s="1"/>
  <c r="K118" i="39" l="1"/>
  <c r="D105" i="6" s="1"/>
  <c r="D34" i="2"/>
  <c r="D36" i="2" s="1"/>
  <c r="D46" i="2" l="1"/>
  <c r="D48" i="2" l="1"/>
  <c r="D8" i="3" s="1"/>
  <c r="E37" i="4" s="1"/>
  <c r="D17" i="3" l="1"/>
  <c r="B19" i="22"/>
  <c r="B30" i="22" s="1"/>
  <c r="B32" i="22" l="1"/>
  <c r="B31" i="22"/>
  <c r="D11" i="3"/>
  <c r="D20" i="3" l="1"/>
  <c r="L3" i="11"/>
  <c r="L5" i="11" s="1"/>
  <c r="D12" i="3"/>
  <c r="D21" i="3" s="1"/>
  <c r="B37" i="22"/>
  <c r="B38" i="22" s="1"/>
  <c r="L6" i="11"/>
  <c r="B3" i="11" s="1"/>
  <c r="D13" i="3"/>
  <c r="D22" i="3" s="1"/>
  <c r="E8" i="4" s="1"/>
  <c r="D16" i="5" l="1"/>
  <c r="D33" i="5"/>
  <c r="B13" i="11"/>
  <c r="F3" i="11"/>
  <c r="E6" i="4"/>
  <c r="E7" i="4"/>
  <c r="B4" i="11"/>
  <c r="B6" i="11" s="1"/>
  <c r="L7" i="11"/>
  <c r="F13" i="11" l="1"/>
  <c r="D14" i="5"/>
  <c r="D31" i="5"/>
  <c r="D13" i="5"/>
  <c r="D15" i="5"/>
  <c r="D32" i="5"/>
  <c r="D30" i="5"/>
  <c r="E30" i="8"/>
  <c r="B21" i="11"/>
  <c r="E25" i="10"/>
  <c r="E30" i="7"/>
  <c r="D21" i="11"/>
  <c r="E21" i="11" s="1"/>
  <c r="C21" i="11"/>
  <c r="F21" i="11"/>
  <c r="E30" i="9"/>
  <c r="C1" i="11"/>
  <c r="E4" i="11"/>
  <c r="D1" i="11"/>
  <c r="B14" i="11"/>
  <c r="E25" i="7" s="1"/>
  <c r="E25" i="8" l="1"/>
  <c r="E25" i="9"/>
  <c r="D34" i="5"/>
  <c r="E35" i="5"/>
  <c r="E18" i="5"/>
  <c r="D17" i="5"/>
  <c r="E26" i="8"/>
  <c r="B20" i="11"/>
  <c r="K77" i="8" s="1"/>
  <c r="E26" i="7"/>
  <c r="E26" i="9"/>
  <c r="B15" i="11"/>
  <c r="E14" i="11"/>
  <c r="E1" i="11"/>
  <c r="E6" i="11"/>
  <c r="E27" i="10"/>
  <c r="E28" i="10" s="1"/>
  <c r="E24" i="10"/>
  <c r="F4" i="11"/>
  <c r="F65" i="10" l="1"/>
  <c r="C65" i="10"/>
  <c r="D65" i="10"/>
  <c r="E19" i="6" s="1"/>
  <c r="E65" i="10"/>
  <c r="F19" i="6" s="1"/>
  <c r="F1" i="11"/>
  <c r="F14" i="11"/>
  <c r="F6" i="11"/>
  <c r="E15" i="6"/>
  <c r="E16" i="6"/>
  <c r="E17" i="6"/>
  <c r="M77" i="8"/>
  <c r="E11" i="6"/>
  <c r="E12" i="6"/>
  <c r="E13" i="6"/>
  <c r="E15" i="11"/>
  <c r="E20" i="11"/>
  <c r="C20" i="11" s="1"/>
  <c r="E29" i="9"/>
  <c r="E28" i="9"/>
  <c r="E29" i="7"/>
  <c r="E28" i="7"/>
  <c r="C71" i="10"/>
  <c r="C68" i="10"/>
  <c r="C69" i="10"/>
  <c r="C70" i="10"/>
  <c r="E28" i="8"/>
  <c r="E29" i="8"/>
  <c r="K84" i="10" l="1"/>
  <c r="K85" i="10" s="1"/>
  <c r="F20" i="11"/>
  <c r="F15" i="11"/>
  <c r="D74" i="7"/>
  <c r="K86" i="10"/>
  <c r="K87" i="10" s="1"/>
  <c r="D19" i="6"/>
  <c r="D63" i="7"/>
  <c r="J68" i="8"/>
  <c r="K68" i="8" s="1"/>
  <c r="J57" i="8"/>
  <c r="K57" i="8" s="1"/>
  <c r="J69" i="8"/>
  <c r="K69" i="8" s="1"/>
  <c r="J56" i="8"/>
  <c r="J67" i="8"/>
  <c r="J58" i="8"/>
  <c r="K58" i="8" s="1"/>
  <c r="K75" i="9"/>
  <c r="C22" i="11"/>
  <c r="K88" i="10" l="1"/>
  <c r="K97" i="10" s="1"/>
  <c r="K89" i="10"/>
  <c r="K98" i="10" s="1"/>
  <c r="K67" i="8"/>
  <c r="K72" i="8" s="1"/>
  <c r="K93" i="8"/>
  <c r="K91" i="8"/>
  <c r="K56" i="8"/>
  <c r="K61" i="8" s="1"/>
  <c r="E77" i="7"/>
  <c r="F77" i="7" s="1"/>
  <c r="K77" i="7" s="1"/>
  <c r="E74" i="7"/>
  <c r="E76" i="7"/>
  <c r="F76" i="7" s="1"/>
  <c r="K76" i="7" s="1"/>
  <c r="E75" i="7"/>
  <c r="F75" i="7" s="1"/>
  <c r="K75" i="7" s="1"/>
  <c r="M75" i="9"/>
  <c r="J58" i="9" s="1"/>
  <c r="K58" i="9" s="1"/>
  <c r="F16" i="6"/>
  <c r="E64" i="7"/>
  <c r="F64" i="7" s="1"/>
  <c r="K64" i="7" s="1"/>
  <c r="E66" i="7"/>
  <c r="F66" i="7" s="1"/>
  <c r="K66" i="7" s="1"/>
  <c r="E63" i="7"/>
  <c r="E65" i="7"/>
  <c r="F65" i="7" s="1"/>
  <c r="K65" i="7" s="1"/>
  <c r="F22" i="11"/>
  <c r="D20" i="11"/>
  <c r="K76" i="9"/>
  <c r="K77" i="9"/>
  <c r="K99" i="10" l="1"/>
  <c r="G102" i="6" s="1"/>
  <c r="K96" i="8"/>
  <c r="K105" i="8" s="1"/>
  <c r="L65" i="7"/>
  <c r="E68" i="7"/>
  <c r="F63" i="7"/>
  <c r="K63" i="7" s="1"/>
  <c r="L75" i="7"/>
  <c r="L66" i="7"/>
  <c r="K78" i="9"/>
  <c r="D22" i="11"/>
  <c r="L76" i="7"/>
  <c r="F74" i="7"/>
  <c r="K74" i="7" s="1"/>
  <c r="E79" i="7"/>
  <c r="L64" i="7"/>
  <c r="F13" i="6"/>
  <c r="M77" i="9"/>
  <c r="J67" i="9" s="1"/>
  <c r="L77" i="7"/>
  <c r="K92" i="8"/>
  <c r="F15" i="6"/>
  <c r="F17" i="6"/>
  <c r="M76" i="9"/>
  <c r="K94" i="8"/>
  <c r="K95" i="8" l="1"/>
  <c r="K104" i="8" s="1"/>
  <c r="K106" i="8" s="1"/>
  <c r="E102" i="6" s="1"/>
  <c r="J56" i="9"/>
  <c r="J57" i="9"/>
  <c r="K57" i="9" s="1"/>
  <c r="L74" i="7"/>
  <c r="L79" i="7" s="1"/>
  <c r="N77" i="7" s="1"/>
  <c r="O77" i="7" s="1"/>
  <c r="K67" i="9"/>
  <c r="L63" i="7"/>
  <c r="L68" i="7" s="1"/>
  <c r="N63" i="7" s="1"/>
  <c r="F11" i="6"/>
  <c r="M78" i="9"/>
  <c r="F12" i="6"/>
  <c r="N74" i="7" l="1"/>
  <c r="N75" i="7"/>
  <c r="D12" i="6" s="1"/>
  <c r="N64" i="7"/>
  <c r="N66" i="7"/>
  <c r="O66" i="7" s="1"/>
  <c r="N65" i="7"/>
  <c r="J68" i="9"/>
  <c r="J69" i="9"/>
  <c r="K69" i="9" s="1"/>
  <c r="N76" i="7"/>
  <c r="D15" i="6"/>
  <c r="O63" i="7"/>
  <c r="K91" i="9"/>
  <c r="K56" i="9"/>
  <c r="K61" i="9" s="1"/>
  <c r="K92" i="9" l="1"/>
  <c r="O76" i="7"/>
  <c r="D11" i="6"/>
  <c r="O65" i="7"/>
  <c r="D16" i="6"/>
  <c r="D17" i="6"/>
  <c r="O64" i="7"/>
  <c r="O75" i="7"/>
  <c r="K68" i="9"/>
  <c r="K72" i="9" s="1"/>
  <c r="K93" i="9"/>
  <c r="K96" i="9" s="1"/>
  <c r="K105" i="9" s="1"/>
  <c r="K91" i="7"/>
  <c r="D13" i="6"/>
  <c r="O74" i="7"/>
  <c r="K93" i="7"/>
  <c r="K94" i="7" s="1"/>
  <c r="O68" i="7" l="1"/>
  <c r="O79" i="7"/>
  <c r="K94" i="9"/>
  <c r="K95" i="9" s="1"/>
  <c r="K104" i="9" s="1"/>
  <c r="K106" i="9" s="1"/>
  <c r="F102" i="6" s="1"/>
  <c r="K96" i="7"/>
  <c r="K105" i="7" s="1"/>
  <c r="K92" i="7"/>
  <c r="K95" i="7" s="1"/>
  <c r="K104" i="7" s="1"/>
  <c r="K106" i="7" l="1"/>
  <c r="D10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Synnest</author>
  </authors>
  <commentList>
    <comment ref="A24" authorId="0" shapeId="0" xr:uid="{00000000-0006-0000-0600-000001000000}">
      <text>
        <r>
          <rPr>
            <b/>
            <sz val="9"/>
            <color indexed="81"/>
            <rFont val="Tahoma"/>
            <family val="2"/>
          </rPr>
          <t>Nina Synnest:</t>
        </r>
        <r>
          <rPr>
            <sz val="9"/>
            <color indexed="81"/>
            <rFont val="Tahoma"/>
            <family val="2"/>
          </rPr>
          <t xml:space="preserve">
Fra økonomi - tjekkes</t>
        </r>
      </text>
    </comment>
  </commentList>
</comments>
</file>

<file path=xl/sharedStrings.xml><?xml version="1.0" encoding="utf-8"?>
<sst xmlns="http://schemas.openxmlformats.org/spreadsheetml/2006/main" count="5336" uniqueCount="406">
  <si>
    <t>Capacity</t>
  </si>
  <si>
    <t>Unit</t>
  </si>
  <si>
    <t>%</t>
  </si>
  <si>
    <t>Capacity bookings</t>
  </si>
  <si>
    <t>Entry:</t>
  </si>
  <si>
    <t>Nybro</t>
  </si>
  <si>
    <t>Ellund</t>
  </si>
  <si>
    <t>BNG</t>
  </si>
  <si>
    <t>Exit</t>
  </si>
  <si>
    <t>Baltic Pipe</t>
  </si>
  <si>
    <t>DK</t>
  </si>
  <si>
    <t>Dragør</t>
  </si>
  <si>
    <t>MWh</t>
  </si>
  <si>
    <t>DK (+BNG)</t>
  </si>
  <si>
    <t>Total</t>
  </si>
  <si>
    <t>OPEX</t>
  </si>
  <si>
    <t>CAPEX</t>
  </si>
  <si>
    <t>TOTEX</t>
  </si>
  <si>
    <t>DDK mio.</t>
  </si>
  <si>
    <t>EUR mio.</t>
  </si>
  <si>
    <t>#</t>
  </si>
  <si>
    <t xml:space="preserve">Cumulutative inflation index </t>
  </si>
  <si>
    <t>Cost base, with Baltic Pipe (nominal)</t>
  </si>
  <si>
    <t>Cost base, without Baltic Pipe (nominal)</t>
  </si>
  <si>
    <t>With Baltic Pipe</t>
  </si>
  <si>
    <t>Scenario in use</t>
  </si>
  <si>
    <t>Entry</t>
  </si>
  <si>
    <t>DKK mio.</t>
  </si>
  <si>
    <t>GWh/h/y</t>
  </si>
  <si>
    <t>Ellund Entry</t>
  </si>
  <si>
    <t>DKK/kWh/h/y</t>
  </si>
  <si>
    <t>2019/2020</t>
  </si>
  <si>
    <t>2020/2021</t>
  </si>
  <si>
    <t>2021/2022</t>
  </si>
  <si>
    <t>2022/2023</t>
  </si>
  <si>
    <t>2023/2024</t>
  </si>
  <si>
    <t>2024/2025</t>
  </si>
  <si>
    <t>GWh</t>
  </si>
  <si>
    <t>DKK/kWh</t>
  </si>
  <si>
    <t>Cost base, Baltic Pipe (nominal)</t>
  </si>
  <si>
    <t>Inflation index</t>
  </si>
  <si>
    <t>DKK</t>
  </si>
  <si>
    <t>EUR</t>
  </si>
  <si>
    <t>% change in simulation data</t>
  </si>
  <si>
    <t>Green = adjustable cell</t>
  </si>
  <si>
    <t>Transportation cost, uniform</t>
  </si>
  <si>
    <t>na</t>
  </si>
  <si>
    <t>Load factor Entry</t>
  </si>
  <si>
    <t>Entry capacity booking in kWh/h/y</t>
  </si>
  <si>
    <t>Exit capacity booking in kWh/h/y</t>
  </si>
  <si>
    <t>Load factor Exit</t>
  </si>
  <si>
    <t>Year on year development</t>
  </si>
  <si>
    <t>Shippers cost of transportation based on flow and load factor assumption above</t>
  </si>
  <si>
    <t>Consumers cost of transporation based on flow and load factor assumption above (assumed that gas is bought in DK)</t>
  </si>
  <si>
    <t>Time independent variables</t>
  </si>
  <si>
    <t>Conversion rate - without Baltic Pipe</t>
  </si>
  <si>
    <t>Conversion rate - Baltic Pipe</t>
  </si>
  <si>
    <t>Exchange rate DKK/EUR</t>
  </si>
  <si>
    <t>Overview</t>
  </si>
  <si>
    <t>Capacity tariffs [DKK/kWh/h/y]</t>
  </si>
  <si>
    <t>CWD</t>
  </si>
  <si>
    <t>Uniform tariff</t>
  </si>
  <si>
    <t>Current method</t>
  </si>
  <si>
    <t>Exit DK</t>
  </si>
  <si>
    <t>D</t>
  </si>
  <si>
    <t>Exit Dragør</t>
  </si>
  <si>
    <t>IP2</t>
  </si>
  <si>
    <t>Exit Ellund</t>
  </si>
  <si>
    <t>IP1</t>
  </si>
  <si>
    <t>Entry Nybro</t>
  </si>
  <si>
    <t>P1</t>
  </si>
  <si>
    <t>Entry Ellund</t>
  </si>
  <si>
    <t>Entry BNG</t>
  </si>
  <si>
    <t>P2</t>
  </si>
  <si>
    <t>Commodity tariff [DKK/kWh]</t>
  </si>
  <si>
    <t>Resulting tariffs 2019/2020</t>
  </si>
  <si>
    <t>Exit BP2</t>
  </si>
  <si>
    <t>BP2</t>
  </si>
  <si>
    <t>Entry BP1</t>
  </si>
  <si>
    <t>BP1</t>
  </si>
  <si>
    <t>Entry BP2</t>
  </si>
  <si>
    <t>Comparison Index [-]</t>
  </si>
  <si>
    <t xml:space="preserve">Commodity </t>
  </si>
  <si>
    <t>Cost driver</t>
  </si>
  <si>
    <t>CWDxcapacity</t>
  </si>
  <si>
    <t>CWDxcommodity</t>
  </si>
  <si>
    <t>Refereces are with respect to:</t>
  </si>
  <si>
    <t>COMMISSION REGULATION (EU) 2017/460 of 16 March 2017</t>
  </si>
  <si>
    <t>Establishing a network code on harmonised transmission tariff structures for gas</t>
  </si>
  <si>
    <t>See document 'Tariff calculations - Walkthrough' for thorough description of calculations</t>
  </si>
  <si>
    <t>Capacity Weighted Distance (CWD) - Capacity tarifs</t>
  </si>
  <si>
    <t>Capacities[MWh/h]</t>
  </si>
  <si>
    <t>Longitude [km]</t>
  </si>
  <si>
    <t>Latitude [km]</t>
  </si>
  <si>
    <t>Forecast Contracted Capacity [MWh/h]</t>
  </si>
  <si>
    <t>Art. 8(1)(b)</t>
  </si>
  <si>
    <t>S</t>
  </si>
  <si>
    <t>Revenue [mio. DKK]</t>
  </si>
  <si>
    <t>Total revenue  [ mio. DKK]</t>
  </si>
  <si>
    <t>Art. 8(1)(e)</t>
  </si>
  <si>
    <t>Revenue to cover capacity charges  [mio. DKK]</t>
  </si>
  <si>
    <t>Art. 8(2)(c)</t>
  </si>
  <si>
    <t>Share of entry capacity revenue</t>
  </si>
  <si>
    <t>Entry Capacity TSO Revenue to cover</t>
  </si>
  <si>
    <t>Exit Capacity TSO Revenue to cover</t>
  </si>
  <si>
    <t>Revenue to cover commodity charges  [mio. DKK]</t>
  </si>
  <si>
    <t xml:space="preserve">Stage 1 - Calculate distances under flow scenario assumption (Art. 8(1)(c) and (d)) </t>
  </si>
  <si>
    <t>Stage 2 - Calculate data for ADen computation</t>
  </si>
  <si>
    <t>Distances [km]</t>
  </si>
  <si>
    <t>Capacity for Aden [MWh/h]</t>
  </si>
  <si>
    <t>Stage 3 - ADen calculation (Art. 8(2)(a)(i))</t>
  </si>
  <si>
    <t>Stage 4 - Sum prod ADen calculation</t>
  </si>
  <si>
    <t>Stage 5 - Wcen calculation (Art. 8(2)(b))</t>
  </si>
  <si>
    <t>Stage 6 - Calculate data for ADex computation</t>
  </si>
  <si>
    <t>Weighted average distance for entry points</t>
  </si>
  <si>
    <t>Aden</t>
  </si>
  <si>
    <t>Sum</t>
  </si>
  <si>
    <t>WcEn</t>
  </si>
  <si>
    <t>Capacity for Adex [MWh/h]</t>
  </si>
  <si>
    <t>Stage 7 - ADex calculation (Art. 8(2)(a)(ii))</t>
  </si>
  <si>
    <t>Stage 8 - Sum prod Adex calculation</t>
  </si>
  <si>
    <t>Stage 9 - Wcex calculation (Art. 8(2)(b))</t>
  </si>
  <si>
    <t>Adex</t>
  </si>
  <si>
    <t>WcEx</t>
  </si>
  <si>
    <t>Stage 10 - Calculation of pre-adjustment revenues and tariffs at entry points (Art. 8(2)(d) and (e))</t>
  </si>
  <si>
    <t>Stage 11 - Adjustment of tariffs and revenues at entry points</t>
  </si>
  <si>
    <t>Stage 12 - Final value of revenues and tariffs at entry points</t>
  </si>
  <si>
    <t>STORAGE/LNG ADJUSTMENT AT ENTRY POINTS</t>
  </si>
  <si>
    <t>Wcen</t>
  </si>
  <si>
    <t>RSumEn</t>
  </si>
  <si>
    <t>REn</t>
  </si>
  <si>
    <t>TEn</t>
  </si>
  <si>
    <t>Storage or LNG (put 'yes' or 'no')?</t>
  </si>
  <si>
    <t>TEn_adjusted</t>
  </si>
  <si>
    <t>REn_adjusted</t>
  </si>
  <si>
    <t>TEnFinal</t>
  </si>
  <si>
    <t>REnFinal</t>
  </si>
  <si>
    <t>no</t>
  </si>
  <si>
    <t>yes</t>
  </si>
  <si>
    <t>Stage 13 - Calculation of pre-adjustment revenues and tariffs at exit points (Art. 8(2)(d) and (e))</t>
  </si>
  <si>
    <t>Stage 14 - Adjustment of tariffs and revenues at exit points</t>
  </si>
  <si>
    <t>Stage 15 - Final value of revenues and tariffs at exit points</t>
  </si>
  <si>
    <t>STORAGE/LNG ADJUSTMENT AT EXIT POINTS</t>
  </si>
  <si>
    <t>Wcex</t>
  </si>
  <si>
    <t>RSumEx</t>
  </si>
  <si>
    <t>Rex</t>
  </si>
  <si>
    <t>Tex</t>
  </si>
  <si>
    <t>TEx_adjusted</t>
  </si>
  <si>
    <t>REx_adjusted</t>
  </si>
  <si>
    <t>TExFinal</t>
  </si>
  <si>
    <t>RExFinal</t>
  </si>
  <si>
    <t>Cost Allocation Assessment (CAA) - Capacity tarifs</t>
  </si>
  <si>
    <t>Stage 1 - Transpose F'st Exit Capacity and Calculation of Exit Cost Drivers</t>
  </si>
  <si>
    <t>Stage 2 - Calculation of 
average distance for entry points to intra and cross exits</t>
  </si>
  <si>
    <t>Type of exit</t>
  </si>
  <si>
    <t>intra use</t>
  </si>
  <si>
    <t>cross use</t>
  </si>
  <si>
    <t xml:space="preserve">Average distance (km) for each entry point </t>
  </si>
  <si>
    <t>to intra exits</t>
  </si>
  <si>
    <t>to cross exits</t>
  </si>
  <si>
    <t>Forecasted exit capacity</t>
  </si>
  <si>
    <t>Exit cost drivers</t>
  </si>
  <si>
    <t>art 5(5)(a)</t>
  </si>
  <si>
    <t>Stage 3 - Calculation of 
Entry Cross-Use and Intra-Use  Capacity and Cost Drivers</t>
  </si>
  <si>
    <r>
      <t xml:space="preserve">Stage 4 - Calculation of 
Entry and Exit Capacity </t>
    </r>
    <r>
      <rPr>
        <b/>
        <sz val="8"/>
        <color rgb="FF0070C0"/>
        <rFont val="Calibri"/>
        <family val="2"/>
        <scheme val="minor"/>
      </rPr>
      <t>Revenues</t>
    </r>
    <r>
      <rPr>
        <b/>
        <sz val="8"/>
        <color rgb="FFFF0000"/>
        <rFont val="Calibri"/>
        <family val="2"/>
        <scheme val="minor"/>
      </rPr>
      <t xml:space="preserve"> for Cross-Use and Intra-Use</t>
    </r>
  </si>
  <si>
    <t>Cross-Use Entry Capacity</t>
  </si>
  <si>
    <t>Adjusted Cross-Use Entry Capacity</t>
  </si>
  <si>
    <t>Intra-Use Entry Capacity</t>
  </si>
  <si>
    <t>Cross-Use Entry 
Cost Drivers</t>
  </si>
  <si>
    <t>Intra-Use Entry Cost Drivers</t>
  </si>
  <si>
    <t>Entry revenues dedicated for Cross-Use</t>
  </si>
  <si>
    <t>-</t>
  </si>
  <si>
    <t>Entry revenues dedicated for Intra-Use</t>
  </si>
  <si>
    <t>Exit revenues from Cross-Use</t>
  </si>
  <si>
    <t>Exit revenues from Intra-Use</t>
  </si>
  <si>
    <t>Revenue for Intra-Use</t>
  </si>
  <si>
    <t>Revenue for Cross-Use</t>
  </si>
  <si>
    <t>sum</t>
  </si>
  <si>
    <t>total exit cap</t>
  </si>
  <si>
    <r>
      <t>Stage 5 - Calculation of 
Entry and Exit</t>
    </r>
    <r>
      <rPr>
        <b/>
        <sz val="8"/>
        <color rgb="FF0070C0"/>
        <rFont val="Calibri"/>
        <family val="2"/>
        <scheme val="minor"/>
      </rPr>
      <t xml:space="preserve"> Cost Drivers</t>
    </r>
    <r>
      <rPr>
        <b/>
        <sz val="8"/>
        <color rgb="FFFF0000"/>
        <rFont val="Calibri"/>
        <family val="2"/>
        <scheme val="minor"/>
      </rPr>
      <t xml:space="preserve"> for Cross-Use and Intra-Use</t>
    </r>
  </si>
  <si>
    <t>Stage 6 - Calculation of 
Capacity Ratios for Intra-Use and Cross-Use, and Comparison Index</t>
  </si>
  <si>
    <t>CAA Capacity</t>
  </si>
  <si>
    <t>Intra-Use Exit Cost drivers</t>
  </si>
  <si>
    <t>Ratio intra</t>
  </si>
  <si>
    <t>Art. 5(3)(a)</t>
  </si>
  <si>
    <t>Cost driver for Intra-Use</t>
  </si>
  <si>
    <t>Ratio cross</t>
  </si>
  <si>
    <t>Art. 5(3)(b)</t>
  </si>
  <si>
    <t>Cross-Use Entry Cost Drivers</t>
  </si>
  <si>
    <t>Comparison Index</t>
  </si>
  <si>
    <t>Art. 5(3)(c)</t>
  </si>
  <si>
    <t>Cross-Use Exit Cost Drivers</t>
  </si>
  <si>
    <t>Cost driver for Cross-Use</t>
  </si>
  <si>
    <t>Stage 5 - Calculate data for ADex computation</t>
  </si>
  <si>
    <t>Stage 6 - ADex calculation (Art. 8(2)(a)(ii))</t>
  </si>
  <si>
    <t>Stage 7 - Sum prod Adex calculation</t>
  </si>
  <si>
    <t>Stage 8 - Final value of revenues and tariffs at entry points</t>
  </si>
  <si>
    <t>Stage 9 - Final value of revenues and tariffs at exit points</t>
  </si>
  <si>
    <t>mDKK/MWh/h/y</t>
  </si>
  <si>
    <t>Uniform tarif</t>
  </si>
  <si>
    <t>Exit capacity of 1 at Ellund is for calculation technicalities - is physically 0</t>
  </si>
  <si>
    <t>Entry Nybro, BNG</t>
  </si>
  <si>
    <t>Exit Zone, Dragør</t>
  </si>
  <si>
    <t>Cost Allocation Assessment (CAA) - Commodity tarifs</t>
  </si>
  <si>
    <t>Commodities [MWh]</t>
  </si>
  <si>
    <t>Forecast Commodity [GWh]</t>
  </si>
  <si>
    <t>Exit commodity of 1 at Ellund is for calculation technicalities - is physically 0</t>
  </si>
  <si>
    <t>Entry Commodity TSO Revenue to cover</t>
  </si>
  <si>
    <t>Exit Commodity TSO Revenue to cover</t>
  </si>
  <si>
    <t>Commodity for Aden [GWh]</t>
  </si>
  <si>
    <t>Commodity for Adex [MWh/h]</t>
  </si>
  <si>
    <t>Stage 8 - Calculate entry/exit tarifs</t>
  </si>
  <si>
    <t>Exit tarifs [mio. DKK/GWh]</t>
  </si>
  <si>
    <t>Entry tarifs [mio. DKK/GWh]</t>
  </si>
  <si>
    <t>Calculations</t>
  </si>
  <si>
    <t>Stage 1 - Transpose F'st Exit Commodity and Calculation of Exit Cost Drivers</t>
  </si>
  <si>
    <t>Forecasted exit commodity</t>
  </si>
  <si>
    <t>Transporttariffer
Omkostningsbase</t>
  </si>
  <si>
    <t>I alt</t>
  </si>
  <si>
    <t>Kompressor- Ellund Entry</t>
  </si>
  <si>
    <t>Rørdublering - DK zone/Dragør</t>
  </si>
  <si>
    <t>Eksisterende aktiver - Ellund Entry</t>
  </si>
  <si>
    <t>Eksisterende aktiver</t>
  </si>
  <si>
    <t>Årsmængder i mio. kWh</t>
  </si>
  <si>
    <t>Omkostninger (mio. kr.)</t>
  </si>
  <si>
    <t>Volumen</t>
  </si>
  <si>
    <t>Danmark</t>
  </si>
  <si>
    <t>Kapacitet</t>
  </si>
  <si>
    <t>Sverige</t>
  </si>
  <si>
    <t>Heraf EE</t>
  </si>
  <si>
    <t>Kompressor El</t>
  </si>
  <si>
    <t>Eksport Tyskland</t>
  </si>
  <si>
    <t>i %</t>
  </si>
  <si>
    <t>Samlet forbrug DK transmission</t>
  </si>
  <si>
    <t>Underdækning volumen</t>
  </si>
  <si>
    <r>
      <t>Kapacitet i kWh</t>
    </r>
    <r>
      <rPr>
        <b/>
        <sz val="10"/>
        <rFont val="Arial"/>
        <family val="2"/>
      </rPr>
      <t>/h</t>
    </r>
  </si>
  <si>
    <t>Kapacitets/Volumen i %</t>
  </si>
  <si>
    <t>Underdækning kapacitet</t>
  </si>
  <si>
    <t>Forkert tilbageført overdækn.</t>
  </si>
  <si>
    <t>Andel kompressor</t>
  </si>
  <si>
    <t>Tilbageførsel</t>
  </si>
  <si>
    <t>Andel rørdublering</t>
  </si>
  <si>
    <t>Exit  kapacitet</t>
  </si>
  <si>
    <t>Kompressor</t>
  </si>
  <si>
    <t>Omkostning</t>
  </si>
  <si>
    <t>Rørdublering</t>
  </si>
  <si>
    <t>Øvrig</t>
  </si>
  <si>
    <t xml:space="preserve">EntryNybro </t>
  </si>
  <si>
    <t>Entry kapacitet</t>
  </si>
  <si>
    <t>Indregnet underdækning</t>
  </si>
  <si>
    <t>Tarifberegning</t>
  </si>
  <si>
    <t>Exit Zone, Dragør Exit</t>
  </si>
  <si>
    <t>Generelt Ellund</t>
  </si>
  <si>
    <t>Nybro Entry, Ellund Exit, BNG</t>
  </si>
  <si>
    <t>Mio. kr.</t>
  </si>
  <si>
    <t>Tariffer 2017/2018</t>
  </si>
  <si>
    <t>Kapacitetstarif (kr./kWh/h/år)</t>
  </si>
  <si>
    <t>Volumentarif (kr./kWh)</t>
  </si>
  <si>
    <t>Tarifspredning %</t>
  </si>
  <si>
    <t>OBS! Der er indregnet opkrævning af nødtariffer i total kapacitet</t>
  </si>
  <si>
    <t>Tariffer 2019/2020</t>
  </si>
  <si>
    <t>BP capacity through Nybro (P1) or new entry point (BP1)?</t>
  </si>
  <si>
    <t>BP</t>
  </si>
  <si>
    <t>I alt - uden nødtarrif</t>
  </si>
  <si>
    <t>Exit Baltic Pipe</t>
  </si>
  <si>
    <t>Entry Baltic Pipe</t>
  </si>
  <si>
    <t>Korteprodukter</t>
  </si>
  <si>
    <t>Balancering</t>
  </si>
  <si>
    <t>Systemoperatørlager mv.</t>
  </si>
  <si>
    <t>Afbrydelige kunder (transport - 3)</t>
  </si>
  <si>
    <t>Energitilsynet og Energistyrelsen</t>
  </si>
  <si>
    <t>Procesenergi</t>
  </si>
  <si>
    <t>Markedsgebyrer</t>
  </si>
  <si>
    <t>Øvrige eksterne driftsomkostninger</t>
  </si>
  <si>
    <t>Personaleomkostninger</t>
  </si>
  <si>
    <t>Modregnet EU støtte</t>
  </si>
  <si>
    <t>Afskrivninger</t>
  </si>
  <si>
    <t>Finansielle poster (netto)</t>
  </si>
  <si>
    <t>Skat og egenkapitalforrentning</t>
  </si>
  <si>
    <t>Fuel cost compressor</t>
  </si>
  <si>
    <t>Ellund-Egtved share</t>
  </si>
  <si>
    <t>Share compressor</t>
  </si>
  <si>
    <t>Share pipeline</t>
  </si>
  <si>
    <t>Compressor in mio. DKK</t>
  </si>
  <si>
    <t>Pipeline in mio. DKK</t>
  </si>
  <si>
    <t>Emergency tariffs</t>
  </si>
  <si>
    <t>Total cost base used for tariff calculations</t>
  </si>
  <si>
    <t>Correction of overrecovery</t>
  </si>
  <si>
    <t>Storage discount</t>
  </si>
  <si>
    <t>Entry-/Exit-split</t>
  </si>
  <si>
    <t>Cost Entry</t>
  </si>
  <si>
    <t>Cost Exit</t>
  </si>
  <si>
    <t>Please note: The that the model is meant as a tool for the work in the shipper taskforce and the chosen scenarios and methodologies are therefore not to be seen as the opinion of Energinet.</t>
  </si>
  <si>
    <t>Årsmængder i mio. kWh - Exit</t>
  </si>
  <si>
    <t>Årsmængder i mio. kWh - Entry</t>
  </si>
  <si>
    <t>Lagerinjektion</t>
  </si>
  <si>
    <t>Lagerudtræk</t>
  </si>
  <si>
    <t>Samlet</t>
  </si>
  <si>
    <t xml:space="preserve">Entry Nybro </t>
  </si>
  <si>
    <t>Storage Exit</t>
  </si>
  <si>
    <t>Storage Entry</t>
  </si>
  <si>
    <t>2018/2019</t>
  </si>
  <si>
    <t>Resulting tariffs 2020/2021</t>
  </si>
  <si>
    <t>Resulting tariffs 2021/2022</t>
  </si>
  <si>
    <t>Resulting tariffs 2022/2023</t>
  </si>
  <si>
    <t>Resulting tariffs 2023/2024</t>
  </si>
  <si>
    <t>Resulting tariffs 2024/2025</t>
  </si>
  <si>
    <t>OBS: Nominal Numbers</t>
  </si>
  <si>
    <t>DKK/KWh/h/y</t>
  </si>
  <si>
    <t>2018/2019*</t>
  </si>
  <si>
    <t>DKK/MWh</t>
  </si>
  <si>
    <t>Volume in kWh</t>
  </si>
  <si>
    <t>Volume</t>
  </si>
  <si>
    <t>Introduction</t>
  </si>
  <si>
    <t>Table of content</t>
  </si>
  <si>
    <t>Cost Allocation Assesments*</t>
  </si>
  <si>
    <t>*Colouring according to ACER guidelines</t>
  </si>
  <si>
    <t>Gas tariff years</t>
  </si>
  <si>
    <t>Exit Zone</t>
  </si>
  <si>
    <t>RES</t>
  </si>
  <si>
    <t>Development in tariffs with uniform cost allocation tariff methodology</t>
  </si>
  <si>
    <t>*Tariffs in 2018/2019 are based on the Final Consultation tariff methodology paper</t>
  </si>
  <si>
    <t>Development in average cost of transportation</t>
  </si>
  <si>
    <t>Average cost of transportation</t>
  </si>
  <si>
    <t>Average cost of transportation from OS 2017 phase II</t>
  </si>
  <si>
    <t>*Average cost of transportation in 2018/2019 are based on the released tariff methodology paper</t>
  </si>
  <si>
    <t>Calculation of transportation costs: Consumer*</t>
  </si>
  <si>
    <t>Calculation of transportation costs: Shipper</t>
  </si>
  <si>
    <t>Load factor expresses the ratio of average load to peak load during a specific period of transportation.</t>
  </si>
  <si>
    <t>Individual transportation cost, uniform</t>
  </si>
  <si>
    <t>*To calculate the individual transportation costs for consumers, it is assumed that gas is bought at the gas exchange (Gas Point Nordic) and delivered at the Exit Zone (Exit Zone capacity cost plus commodity tariff).</t>
  </si>
  <si>
    <t xml:space="preserve">The following is an overview of the expected tariffs calculated with different tariff methodologies. At the bottom of this sheet the CAA is calculated. NB! A 100% discount on storage tariffs (capacity and commodity) is assumed. </t>
  </si>
  <si>
    <t>Current method*</t>
  </si>
  <si>
    <t>* The current cost allocation methodology is 'Differentiated capacity tariffs'. The proposed new cost allocation methodology is uniform capacity tariffs. Approval of the proposed cost allocation methodology is pending.</t>
  </si>
  <si>
    <t>Sensitivity input</t>
  </si>
  <si>
    <t xml:space="preserve">"1. Sensitivity input”: in this section, it is possible to adjust some of the inputs in this model. </t>
  </si>
  <si>
    <t>"2. Input”:  in this section, the input data used for tariff calculations are shown.</t>
  </si>
  <si>
    <t>"3. Charts”: in this section, charts of tariff development and cost of transportation are shown.</t>
  </si>
  <si>
    <t>"4. Transportation costs example”: in this section, the transportation cost for using the Danish transmission system is calculated based on user inputs.</t>
  </si>
  <si>
    <t>Input</t>
  </si>
  <si>
    <t>Assumptions on cost base and utilisation</t>
  </si>
  <si>
    <t>Allows users to test the impact of changes to tariffs from the Baltic Pipe project and sensitivity to changes in cost base and utilisation.</t>
  </si>
  <si>
    <t>Scenario in use (sheet '1. Sensitivity input'):</t>
  </si>
  <si>
    <t>MEUR</t>
  </si>
  <si>
    <t>MDKK</t>
  </si>
  <si>
    <t>Illustration of tariff development according to the proposed uniform capacity tariffs</t>
  </si>
  <si>
    <t>Pending approval of the uniform capacity tariff cost allocation methodology</t>
  </si>
  <si>
    <t>*Link to OS17 economic model</t>
  </si>
  <si>
    <t>Transportation costs for different user/consumer profiles</t>
  </si>
  <si>
    <t>Entry RES</t>
  </si>
  <si>
    <t>TOTEX (cost base)</t>
  </si>
  <si>
    <t>Emergency Ellund-Egtved CAPEX (1/3)</t>
  </si>
  <si>
    <t>Total cost base used for tariff calculation</t>
  </si>
  <si>
    <t>Capacity cost base</t>
  </si>
  <si>
    <t>Commodity cost base</t>
  </si>
  <si>
    <t>Adjustments</t>
  </si>
  <si>
    <t>2019*</t>
  </si>
  <si>
    <t>2020*</t>
  </si>
  <si>
    <t>*OBS! Not used for 2019/2020 as it is a manual input in "2. input"</t>
  </si>
  <si>
    <t>*hard coded to match 2019/2020 tariffs</t>
  </si>
  <si>
    <t>Over/under coverage</t>
  </si>
  <si>
    <t>OBS! Fixed 70/30 split applied</t>
  </si>
  <si>
    <t>TOTEX cost</t>
  </si>
  <si>
    <t>Capacity/Commodity split</t>
  </si>
  <si>
    <t xml:space="preserve">Commodity cost base </t>
  </si>
  <si>
    <t>Old 2019 split</t>
  </si>
  <si>
    <t>Old 2020 split</t>
  </si>
  <si>
    <t>Cost base split between capacity and commodity cost base (70/30)</t>
  </si>
  <si>
    <t>Volumes applied</t>
  </si>
  <si>
    <t>Capacity applied</t>
  </si>
  <si>
    <t>Exit Zone (and RES Entry)*</t>
  </si>
  <si>
    <t>*From 2020/2021 the joint exit zone is shown in this column and Dragør is = 0</t>
  </si>
  <si>
    <t>2019/2020**</t>
  </si>
  <si>
    <t>In the updated model, six adjustments have been made:
1. The cost-table in the "2. Input"-tab has been updated with additional cost elements, reflecting the cost elements needed to adjust the cost base for tariff calculations. (26/10-2018)
2. A reference error in one of the hidden sheets was located and changed. This cause a change in the CWD-tariff and the CAA in year 2021/2022. (26/10-2018)
3. The cost of transportation from the OS2017 model has been adjusted with the inflation rate presented in the OS2017 model, causing adjustments to the presented OS2017 cost of transportation. (26/10-2018)
4. In the "3. Charts"-tab the formulars used to calculated uniform tariffs are now visible. (26/10-2018)
5. A correction of the Ellund capacities and volumes has been made. The volumes no longer exceeds the capacities at any time. (13/11-2018)
6. The capacities and volumes have been updated according to the recently published "Analyseforudsætninger 2018" from the Danish Energy Authorities. (15/11-2018)
7. OPEX placed in gas year 2021/2022 related to Baltic Pipe have been reclassified to CAPEX, included in the total CAPEX base of Baltic Pipe. (27/11-2018)
8. Minor adjustment in Baltic Pipe entry and exit capacities in the gas years 2022/2023, 2023/2024 and 2024/2025. (27/11-2018)
9. The CAPEX and OPEX split in the "2. Input" tab has been removed and a fixed capacity/commodity split of 70/30 has been applied on TOTEX (10/09-2019)
10. Updated cost estimate has been applied to the year 2019/2020 (10/09-2019)
11. Volume and capacity estimates have been updated (27/09-2019)
12. The model now reflects the expected over/under coverage in the "2. Input" sheet (10/09-2019)</t>
  </si>
  <si>
    <t xml:space="preserve">Exit Zone kapacitet </t>
  </si>
  <si>
    <t xml:space="preserve">Exit Dragør kapacitet </t>
  </si>
  <si>
    <t>Exit Ellund kapacitet</t>
  </si>
  <si>
    <t xml:space="preserve">Entry Ellund kapacitet </t>
  </si>
  <si>
    <t>Entry Nybro kapacitet</t>
  </si>
  <si>
    <t>Entry BNG kapacitet</t>
  </si>
  <si>
    <t xml:space="preserve">Samlet kapacitet </t>
  </si>
  <si>
    <t xml:space="preserve">Exit Zone volumen </t>
  </si>
  <si>
    <t xml:space="preserve">Exit Dragør volumen </t>
  </si>
  <si>
    <t>Exit Ellund volumen</t>
  </si>
  <si>
    <t>Samlet exit volumen</t>
  </si>
  <si>
    <t xml:space="preserve">Entry Ellund volumen </t>
  </si>
  <si>
    <t xml:space="preserve">Entry Nybro volumen </t>
  </si>
  <si>
    <t>Entry BNG volumen</t>
  </si>
  <si>
    <t>Samlet Entry volumen</t>
  </si>
  <si>
    <t>kWh/h</t>
  </si>
  <si>
    <t>kWh</t>
  </si>
  <si>
    <t>The tariff model is published in accordance with TAR NC Art. 30 2.(b) enabling network users to calculate the transmission tariffs applicable for the prevailing tariff period and to estimate their possible evolution beyond such tariff period.</t>
  </si>
  <si>
    <t>The Excel spreadsheet contains four sections beside this Introduction:</t>
  </si>
  <si>
    <t>2025/2026</t>
  </si>
  <si>
    <t>2021*</t>
  </si>
  <si>
    <t>Updated input form AF20 (høringsudgave)</t>
  </si>
  <si>
    <t>2026/2027</t>
  </si>
  <si>
    <t xml:space="preserve"> </t>
  </si>
  <si>
    <t>The Excel spreadsheet is shared to provide stakeholders the opportunity to assess Energinet's current view on the future tariffs.</t>
  </si>
  <si>
    <t>This document is only intended to provide guidance on indicative tariff leves of the respective gas tariff years until year 2026. The forecasted tariffs are non-binding and indicative. Energinet has worked diligently to ensure that formulas, calculations, programming, etc. used and applied in this excel spread sheet are correct. Energinet does not assume any liability for the content and use of the tariff spread sheet model. In the tariff spread sheet model, Energinet has made the necessary assumptions on which the calculations are based. Such assumptions are Energinet’s best estimate based on current information. Assumptions and input data is likely to be revised prior to calculating future tariffs.</t>
  </si>
  <si>
    <t>Allows users to calculate their specific expected transportation costs depending on capacity utilisation profile</t>
  </si>
  <si>
    <t>2020/2021**</t>
  </si>
  <si>
    <t>Please also be aware that the model do not take any future changes to tariff methodology or regulatory model into account.</t>
  </si>
  <si>
    <t>**Tariffs represents the tariffs shown in the price sheets at Energinets webpage (https://en.energinet.dk/Gas/Tariffs-and-Fees)</t>
  </si>
  <si>
    <t>**Based on the input used for the tariff calculation which are including over recovery.</t>
  </si>
  <si>
    <t>Based on AF2020 31.08.2020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</si>
</sst>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_-* #,##0\ _k_r_._-;\-* #,##0\ _k_r_._-;_-* &quot;-&quot;??\ _k_r_._-;_-@_-"/>
    <numFmt numFmtId="166" formatCode="0.0000"/>
    <numFmt numFmtId="167" formatCode="0.00000"/>
    <numFmt numFmtId="168" formatCode="#,##0.0000"/>
    <numFmt numFmtId="169" formatCode="#,##0.00000"/>
    <numFmt numFmtId="170" formatCode="#,##0.000"/>
    <numFmt numFmtId="171" formatCode="_-* #,##0.0000\ _k_r_._-;\-* #,##0.0000\ _k_r_._-;_-* &quot;-&quot;??\ _k_r_._-;_-@_-"/>
    <numFmt numFmtId="172" formatCode="#,##0.0000000"/>
    <numFmt numFmtId="173" formatCode="0.0%"/>
    <numFmt numFmtId="174" formatCode="0.00000%"/>
    <numFmt numFmtId="175" formatCode="0.000"/>
  </numFmts>
  <fonts count="4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i/>
      <sz val="11"/>
      <color theme="1"/>
      <name val="Calibri"/>
      <family val="2"/>
      <scheme val="minor"/>
    </font>
    <font>
      <sz val="11"/>
      <color rgb="FFFF0000"/>
      <name val="Calibri"/>
      <family val="2"/>
      <scheme val="minor"/>
    </font>
    <font>
      <b/>
      <sz val="24"/>
      <color theme="1"/>
      <name val="Calibri"/>
      <family val="2"/>
      <scheme val="minor"/>
    </font>
    <font>
      <sz val="11"/>
      <name val="Calibri"/>
      <family val="2"/>
      <scheme val="minor"/>
    </font>
    <font>
      <i/>
      <sz val="11"/>
      <color theme="1"/>
      <name val="Calibri"/>
      <family val="2"/>
      <scheme val="minor"/>
    </font>
    <font>
      <b/>
      <sz val="12"/>
      <color theme="1"/>
      <name val="Calibri"/>
      <family val="2"/>
      <scheme val="minor"/>
    </font>
    <font>
      <u/>
      <sz val="11"/>
      <color theme="1"/>
      <name val="Calibri"/>
      <family val="2"/>
      <scheme val="minor"/>
    </font>
    <font>
      <sz val="9"/>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sz val="8"/>
      <color theme="0" tint="-0.249977111117893"/>
      <name val="Calibri"/>
      <family val="2"/>
      <scheme val="minor"/>
    </font>
    <font>
      <sz val="10"/>
      <color theme="1"/>
      <name val="Calibri Light"/>
      <family val="2"/>
    </font>
    <font>
      <b/>
      <sz val="8"/>
      <color rgb="FFFF0000"/>
      <name val="Calibri Light"/>
      <family val="2"/>
    </font>
    <font>
      <i/>
      <sz val="8"/>
      <color theme="1"/>
      <name val="Calibri"/>
      <family val="2"/>
      <scheme val="minor"/>
    </font>
    <font>
      <b/>
      <sz val="8"/>
      <name val="Calibri"/>
      <family val="2"/>
      <scheme val="minor"/>
    </font>
    <font>
      <sz val="10"/>
      <name val="Arial"/>
      <family val="2"/>
    </font>
    <font>
      <b/>
      <sz val="8"/>
      <name val="Arial"/>
      <family val="2"/>
    </font>
    <font>
      <b/>
      <sz val="8"/>
      <color rgb="FF0070C0"/>
      <name val="Calibri"/>
      <family val="2"/>
      <scheme val="minor"/>
    </font>
    <font>
      <b/>
      <sz val="8"/>
      <color rgb="FFFF0000"/>
      <name val="Calibri"/>
      <family val="2"/>
      <scheme val="minor"/>
    </font>
    <font>
      <b/>
      <sz val="8"/>
      <color theme="0"/>
      <name val="Calibri"/>
      <family val="2"/>
      <scheme val="minor"/>
    </font>
    <font>
      <sz val="8"/>
      <name val="Calibri"/>
      <family val="2"/>
      <scheme val="minor"/>
    </font>
    <font>
      <b/>
      <sz val="9"/>
      <name val="Verdana"/>
      <family val="2"/>
    </font>
    <font>
      <b/>
      <sz val="10"/>
      <name val="Arial"/>
      <family val="2"/>
    </font>
    <font>
      <sz val="9"/>
      <name val="Verdana"/>
      <family val="2"/>
    </font>
    <font>
      <b/>
      <sz val="11"/>
      <color rgb="FFFF0000"/>
      <name val="Calibri"/>
      <family val="2"/>
      <scheme val="minor"/>
    </font>
    <font>
      <b/>
      <sz val="16"/>
      <color rgb="FFFF0000"/>
      <name val="Calibri"/>
      <family val="2"/>
      <scheme val="minor"/>
    </font>
    <font>
      <b/>
      <sz val="9"/>
      <color indexed="81"/>
      <name val="Tahoma"/>
      <family val="2"/>
    </font>
    <font>
      <sz val="9"/>
      <color indexed="81"/>
      <name val="Tahoma"/>
      <family val="2"/>
    </font>
    <font>
      <i/>
      <sz val="10"/>
      <name val="Arial"/>
      <family val="2"/>
    </font>
    <font>
      <i/>
      <u/>
      <sz val="11"/>
      <color theme="1"/>
      <name val="Calibri"/>
      <family val="2"/>
      <scheme val="minor"/>
    </font>
    <font>
      <b/>
      <sz val="10"/>
      <color theme="0"/>
      <name val="Calibri"/>
      <family val="2"/>
      <scheme val="minor"/>
    </font>
    <font>
      <sz val="11"/>
      <color theme="0"/>
      <name val="Calibri"/>
      <family val="2"/>
      <scheme val="minor"/>
    </font>
    <font>
      <i/>
      <sz val="11"/>
      <color theme="0"/>
      <name val="Calibri"/>
      <family val="2"/>
      <scheme val="minor"/>
    </font>
    <font>
      <sz val="10"/>
      <color theme="0"/>
      <name val="Arial"/>
      <family val="2"/>
    </font>
    <font>
      <b/>
      <sz val="16"/>
      <color theme="0"/>
      <name val="Calibri"/>
      <family val="2"/>
      <scheme val="minor"/>
    </font>
    <font>
      <b/>
      <u/>
      <sz val="14"/>
      <color theme="1"/>
      <name val="Calibri"/>
      <family val="2"/>
      <scheme val="minor"/>
    </font>
    <font>
      <sz val="16"/>
      <color theme="1"/>
      <name val="Calibri"/>
      <family val="2"/>
      <scheme val="minor"/>
    </font>
    <font>
      <u/>
      <sz val="11"/>
      <color theme="10"/>
      <name val="Calibri"/>
      <family val="2"/>
      <scheme val="minor"/>
    </font>
    <font>
      <sz val="11"/>
      <color rgb="FF0A515D"/>
      <name val="Calibri"/>
      <family val="2"/>
      <scheme val="minor"/>
    </font>
  </fonts>
  <fills count="18">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
      <patternFill patternType="solid">
        <fgColor rgb="FFFF0000"/>
        <bgColor indexed="64"/>
      </patternFill>
    </fill>
    <fill>
      <patternFill patternType="solid">
        <fgColor indexed="65"/>
        <bgColor indexed="64"/>
      </patternFill>
    </fill>
    <fill>
      <patternFill patternType="solid">
        <fgColor rgb="FF00B0F0"/>
        <bgColor rgb="FFFFFFFF"/>
      </patternFill>
    </fill>
    <fill>
      <patternFill patternType="solid">
        <fgColor rgb="FF00B0F0"/>
        <bgColor rgb="FF000000"/>
      </patternFill>
    </fill>
    <fill>
      <patternFill patternType="solid">
        <fgColor rgb="FF00B0F0"/>
        <bgColor indexed="64"/>
      </patternFill>
    </fill>
    <fill>
      <patternFill patternType="solid">
        <fgColor theme="2"/>
        <bgColor indexed="64"/>
      </patternFill>
    </fill>
    <fill>
      <patternFill patternType="solid">
        <fgColor rgb="FFFFC000"/>
        <bgColor indexed="64"/>
      </patternFill>
    </fill>
    <fill>
      <patternFill patternType="solid">
        <fgColor rgb="FFF2F2F2"/>
        <bgColor rgb="FF000000"/>
      </patternFill>
    </fill>
    <fill>
      <patternFill patternType="solid">
        <fgColor rgb="FF0A515D"/>
        <bgColor indexed="64"/>
      </patternFill>
    </fill>
    <fill>
      <patternFill patternType="solid">
        <fgColor theme="9"/>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auto="1"/>
      </right>
      <top style="thin">
        <color auto="1"/>
      </top>
      <bottom/>
      <diagonal/>
    </border>
    <border>
      <left style="medium">
        <color indexed="64"/>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style="double">
        <color auto="1"/>
      </top>
      <bottom style="thick">
        <color auto="1"/>
      </bottom>
      <diagonal/>
    </border>
    <border>
      <left style="thin">
        <color auto="1"/>
      </left>
      <right style="medium">
        <color indexed="64"/>
      </right>
      <top style="double">
        <color indexed="64"/>
      </top>
      <bottom style="thick">
        <color indexed="64"/>
      </bottom>
      <diagonal/>
    </border>
    <border>
      <left style="medium">
        <color indexed="64"/>
      </left>
      <right style="thin">
        <color auto="1"/>
      </right>
      <top style="thick">
        <color auto="1"/>
      </top>
      <bottom style="thin">
        <color auto="1"/>
      </bottom>
      <diagonal/>
    </border>
    <border>
      <left style="thin">
        <color auto="1"/>
      </left>
      <right style="medium">
        <color indexed="64"/>
      </right>
      <top style="thick">
        <color auto="1"/>
      </top>
      <bottom style="thin">
        <color auto="1"/>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double">
        <color auto="1"/>
      </top>
      <bottom style="medium">
        <color indexed="64"/>
      </bottom>
      <diagonal/>
    </border>
    <border>
      <left style="thin">
        <color auto="1"/>
      </left>
      <right style="medium">
        <color indexed="64"/>
      </right>
      <top style="double">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thin">
        <color indexed="64"/>
      </bottom>
      <diagonal/>
    </border>
    <border>
      <left/>
      <right/>
      <top style="thin">
        <color auto="1"/>
      </top>
      <bottom style="thin">
        <color auto="1"/>
      </bottom>
      <diagonal/>
    </border>
    <border>
      <left style="medium">
        <color indexed="64"/>
      </left>
      <right style="medium">
        <color indexed="64"/>
      </right>
      <top/>
      <bottom style="medium">
        <color indexed="64"/>
      </bottom>
      <diagonal/>
    </border>
    <border>
      <left/>
      <right/>
      <top/>
      <bottom style="medium">
        <color indexed="64"/>
      </bottom>
      <diagonal/>
    </border>
    <border>
      <left style="thin">
        <color auto="1"/>
      </left>
      <right style="medium">
        <color indexed="64"/>
      </right>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style="double">
        <color auto="1"/>
      </top>
      <bottom style="thick">
        <color auto="1"/>
      </bottom>
      <diagonal/>
    </border>
    <border>
      <left style="thin">
        <color indexed="64"/>
      </left>
      <right style="thin">
        <color indexed="64"/>
      </right>
      <top style="double">
        <color indexed="64"/>
      </top>
      <bottom style="thick">
        <color indexed="64"/>
      </bottom>
      <diagonal/>
    </border>
    <border>
      <left style="thick">
        <color auto="1"/>
      </left>
      <right style="thin">
        <color auto="1"/>
      </right>
      <top/>
      <bottom style="thin">
        <color auto="1"/>
      </bottom>
      <diagonal/>
    </border>
    <border>
      <left style="thick">
        <color auto="1"/>
      </left>
      <right style="thin">
        <color auto="1"/>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right/>
      <top/>
      <bottom style="thin">
        <color indexed="64"/>
      </bottom>
      <diagonal style="thin">
        <color indexed="64"/>
      </diagonal>
    </border>
    <border diagonalUp="1">
      <left/>
      <right/>
      <top/>
      <bottom/>
      <diagonal style="thin">
        <color indexed="64"/>
      </diagonal>
    </border>
    <border diagonalUp="1">
      <left/>
      <right/>
      <top style="thin">
        <color indexed="64"/>
      </top>
      <bottom/>
      <diagonal style="thin">
        <color indexed="64"/>
      </diagonal>
    </border>
    <border>
      <left/>
      <right style="thin">
        <color indexed="64"/>
      </right>
      <top style="dotted">
        <color indexed="64"/>
      </top>
      <bottom/>
      <diagonal/>
    </border>
  </borders>
  <cellStyleXfs count="8">
    <xf numFmtId="0" fontId="0"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20" fillId="0" borderId="0"/>
    <xf numFmtId="164" fontId="20" fillId="0" borderId="0" applyFon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cellStyleXfs>
  <cellXfs count="452">
    <xf numFmtId="0" fontId="0" fillId="0" borderId="0" xfId="0"/>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applyBorder="1"/>
    <xf numFmtId="0" fontId="3" fillId="2" borderId="5" xfId="0" applyFont="1" applyFill="1" applyBorder="1"/>
    <xf numFmtId="0" fontId="0" fillId="0" borderId="4" xfId="0" applyBorder="1"/>
    <xf numFmtId="0" fontId="0" fillId="0" borderId="0" xfId="0" applyBorder="1"/>
    <xf numFmtId="0" fontId="0" fillId="0" borderId="6" xfId="0" applyBorder="1"/>
    <xf numFmtId="0" fontId="0" fillId="0" borderId="7" xfId="0" applyBorder="1"/>
    <xf numFmtId="3" fontId="0" fillId="0" borderId="0" xfId="0" applyNumberFormat="1" applyBorder="1"/>
    <xf numFmtId="3" fontId="0" fillId="0" borderId="5" xfId="0" applyNumberFormat="1" applyBorder="1"/>
    <xf numFmtId="3" fontId="0" fillId="0" borderId="7" xfId="0" applyNumberFormat="1" applyBorder="1"/>
    <xf numFmtId="3" fontId="0" fillId="0" borderId="8" xfId="0" applyNumberFormat="1" applyBorder="1"/>
    <xf numFmtId="0" fontId="1" fillId="0" borderId="9" xfId="0" applyFont="1" applyBorder="1"/>
    <xf numFmtId="0" fontId="1" fillId="0" borderId="10" xfId="0" applyFont="1" applyBorder="1"/>
    <xf numFmtId="3" fontId="1" fillId="0" borderId="10" xfId="0" applyNumberFormat="1" applyFont="1" applyBorder="1"/>
    <xf numFmtId="3" fontId="1" fillId="0" borderId="11" xfId="0" applyNumberFormat="1" applyFont="1" applyBorder="1"/>
    <xf numFmtId="0" fontId="1" fillId="0" borderId="12" xfId="0" applyFont="1" applyBorder="1"/>
    <xf numFmtId="0" fontId="1" fillId="0" borderId="13" xfId="0" applyFont="1" applyBorder="1"/>
    <xf numFmtId="3" fontId="1" fillId="0" borderId="13" xfId="0" applyNumberFormat="1" applyFont="1" applyBorder="1"/>
    <xf numFmtId="3" fontId="1" fillId="0" borderId="14" xfId="0" applyNumberFormat="1" applyFont="1" applyBorder="1"/>
    <xf numFmtId="0" fontId="0" fillId="0" borderId="4" xfId="0" applyBorder="1" applyAlignment="1">
      <alignment horizontal="left" indent="1"/>
    </xf>
    <xf numFmtId="0" fontId="0" fillId="0" borderId="6" xfId="0" applyBorder="1" applyAlignment="1">
      <alignment horizontal="left" indent="1"/>
    </xf>
    <xf numFmtId="0" fontId="0" fillId="0" borderId="15" xfId="0" applyBorder="1"/>
    <xf numFmtId="0" fontId="0" fillId="0" borderId="16" xfId="0" applyBorder="1"/>
    <xf numFmtId="164" fontId="0" fillId="0" borderId="0" xfId="1" applyFont="1"/>
    <xf numFmtId="165" fontId="0" fillId="0" borderId="0" xfId="1" applyNumberFormat="1" applyFont="1"/>
    <xf numFmtId="3" fontId="1" fillId="0" borderId="0" xfId="0" applyNumberFormat="1" applyFont="1" applyFill="1" applyBorder="1"/>
    <xf numFmtId="1" fontId="0" fillId="0" borderId="0" xfId="0" applyNumberFormat="1" applyBorder="1"/>
    <xf numFmtId="1" fontId="0" fillId="0" borderId="5" xfId="0" applyNumberFormat="1" applyBorder="1"/>
    <xf numFmtId="3" fontId="0" fillId="0" borderId="0" xfId="0" applyNumberFormat="1" applyFill="1" applyBorder="1"/>
    <xf numFmtId="3" fontId="0" fillId="0" borderId="16" xfId="0" applyNumberFormat="1" applyBorder="1"/>
    <xf numFmtId="0" fontId="0" fillId="0" borderId="9" xfId="0" applyBorder="1"/>
    <xf numFmtId="0" fontId="0" fillId="0" borderId="10" xfId="0" applyBorder="1"/>
    <xf numFmtId="1" fontId="0" fillId="0" borderId="10" xfId="0" applyNumberFormat="1" applyBorder="1"/>
    <xf numFmtId="1" fontId="0" fillId="0" borderId="11" xfId="0" applyNumberFormat="1" applyBorder="1"/>
    <xf numFmtId="4" fontId="0" fillId="0" borderId="0" xfId="0" applyNumberFormat="1" applyBorder="1"/>
    <xf numFmtId="4" fontId="0" fillId="0" borderId="5" xfId="0" applyNumberFormat="1" applyBorder="1"/>
    <xf numFmtId="1" fontId="0" fillId="4" borderId="0" xfId="0" applyNumberFormat="1" applyFill="1" applyBorder="1"/>
    <xf numFmtId="3" fontId="0" fillId="4" borderId="0" xfId="0" applyNumberFormat="1" applyFill="1" applyBorder="1"/>
    <xf numFmtId="3" fontId="0" fillId="4" borderId="5" xfId="0" applyNumberFormat="1" applyFill="1" applyBorder="1"/>
    <xf numFmtId="3" fontId="0" fillId="4" borderId="7" xfId="0" applyNumberFormat="1" applyFill="1" applyBorder="1"/>
    <xf numFmtId="3" fontId="0" fillId="4" borderId="8" xfId="0" applyNumberFormat="1" applyFill="1" applyBorder="1"/>
    <xf numFmtId="1" fontId="0" fillId="4" borderId="5" xfId="0" applyNumberFormat="1" applyFill="1" applyBorder="1"/>
    <xf numFmtId="3" fontId="0" fillId="4" borderId="16" xfId="0" applyNumberFormat="1" applyFill="1" applyBorder="1"/>
    <xf numFmtId="3" fontId="0" fillId="4" borderId="17" xfId="0" applyNumberFormat="1" applyFill="1" applyBorder="1"/>
    <xf numFmtId="2" fontId="0" fillId="4" borderId="7" xfId="0" applyNumberFormat="1" applyFill="1" applyBorder="1"/>
    <xf numFmtId="2" fontId="0" fillId="4" borderId="8" xfId="0" applyNumberFormat="1" applyFill="1" applyBorder="1"/>
    <xf numFmtId="4" fontId="0" fillId="0" borderId="0" xfId="0" applyNumberFormat="1" applyFill="1" applyBorder="1"/>
    <xf numFmtId="0" fontId="0" fillId="0" borderId="5" xfId="0" applyBorder="1"/>
    <xf numFmtId="0" fontId="0" fillId="0" borderId="8" xfId="0" applyBorder="1"/>
    <xf numFmtId="4" fontId="0" fillId="0" borderId="0" xfId="0" applyNumberFormat="1"/>
    <xf numFmtId="4" fontId="9" fillId="0" borderId="0" xfId="0" applyNumberFormat="1" applyFont="1"/>
    <xf numFmtId="4" fontId="8" fillId="0" borderId="0" xfId="0" applyNumberFormat="1" applyFont="1"/>
    <xf numFmtId="4" fontId="10" fillId="0" borderId="0" xfId="0" applyNumberFormat="1" applyFont="1"/>
    <xf numFmtId="4" fontId="11" fillId="0" borderId="0" xfId="0" applyNumberFormat="1" applyFont="1"/>
    <xf numFmtId="4" fontId="12" fillId="0" borderId="0" xfId="0" applyNumberFormat="1" applyFont="1"/>
    <xf numFmtId="4" fontId="13" fillId="7" borderId="0" xfId="0" applyNumberFormat="1" applyFont="1" applyFill="1"/>
    <xf numFmtId="4" fontId="0" fillId="7" borderId="0" xfId="0" applyNumberFormat="1" applyFill="1"/>
    <xf numFmtId="4" fontId="14" fillId="7" borderId="0" xfId="0" applyNumberFormat="1" applyFont="1" applyFill="1"/>
    <xf numFmtId="4" fontId="14" fillId="0" borderId="0" xfId="0" applyNumberFormat="1" applyFont="1"/>
    <xf numFmtId="4" fontId="15" fillId="0" borderId="0" xfId="0" applyNumberFormat="1" applyFont="1"/>
    <xf numFmtId="4" fontId="15" fillId="7" borderId="0" xfId="0" applyNumberFormat="1" applyFont="1" applyFill="1"/>
    <xf numFmtId="4" fontId="1" fillId="7" borderId="0" xfId="0" applyNumberFormat="1" applyFont="1" applyFill="1"/>
    <xf numFmtId="4" fontId="9" fillId="7" borderId="0" xfId="0" applyNumberFormat="1" applyFont="1" applyFill="1"/>
    <xf numFmtId="4" fontId="16" fillId="0" borderId="0" xfId="0" applyNumberFormat="1" applyFont="1"/>
    <xf numFmtId="4" fontId="17" fillId="0" borderId="0" xfId="0" applyNumberFormat="1" applyFont="1" applyFill="1" applyBorder="1"/>
    <xf numFmtId="4" fontId="13" fillId="0" borderId="0" xfId="0" applyNumberFormat="1" applyFont="1"/>
    <xf numFmtId="4" fontId="18" fillId="0" borderId="0" xfId="0" applyNumberFormat="1" applyFont="1"/>
    <xf numFmtId="4" fontId="19" fillId="7" borderId="0" xfId="0" applyNumberFormat="1" applyFont="1" applyFill="1" applyAlignment="1">
      <alignment horizontal="left"/>
    </xf>
    <xf numFmtId="4" fontId="19" fillId="7" borderId="0" xfId="0" applyNumberFormat="1" applyFont="1" applyFill="1" applyAlignment="1">
      <alignment horizontal="center"/>
    </xf>
    <xf numFmtId="4" fontId="1" fillId="0" borderId="0" xfId="0" applyNumberFormat="1" applyFont="1"/>
    <xf numFmtId="4" fontId="20" fillId="0" borderId="0" xfId="4" applyNumberFormat="1"/>
    <xf numFmtId="4" fontId="21" fillId="0" borderId="0" xfId="4" applyNumberFormat="1" applyFont="1"/>
    <xf numFmtId="4" fontId="13" fillId="0" borderId="0" xfId="0" applyNumberFormat="1" applyFont="1" applyAlignment="1">
      <alignment wrapText="1"/>
    </xf>
    <xf numFmtId="4" fontId="13" fillId="4" borderId="0" xfId="0" applyNumberFormat="1" applyFont="1" applyFill="1" applyAlignment="1">
      <alignment wrapText="1"/>
    </xf>
    <xf numFmtId="4" fontId="21" fillId="0" borderId="0" xfId="4" applyNumberFormat="1" applyFont="1" applyAlignment="1">
      <alignment wrapText="1"/>
    </xf>
    <xf numFmtId="4" fontId="24" fillId="8" borderId="18" xfId="0" applyNumberFormat="1" applyFont="1" applyFill="1" applyBorder="1" applyAlignment="1">
      <alignment horizontal="center"/>
    </xf>
    <xf numFmtId="4" fontId="24" fillId="8" borderId="19" xfId="0" applyNumberFormat="1" applyFont="1" applyFill="1" applyBorder="1" applyAlignment="1">
      <alignment horizontal="center"/>
    </xf>
    <xf numFmtId="4" fontId="25" fillId="7" borderId="0" xfId="4" applyNumberFormat="1" applyFont="1" applyFill="1"/>
    <xf numFmtId="4" fontId="19" fillId="7" borderId="20" xfId="0" applyNumberFormat="1" applyFont="1" applyFill="1" applyBorder="1"/>
    <xf numFmtId="4" fontId="19" fillId="7" borderId="20" xfId="0" applyNumberFormat="1" applyFont="1" applyFill="1" applyBorder="1" applyAlignment="1">
      <alignment horizontal="center"/>
    </xf>
    <xf numFmtId="4" fontId="15" fillId="0" borderId="0" xfId="4" applyNumberFormat="1" applyFont="1" applyFill="1" applyBorder="1" applyAlignment="1">
      <alignment horizontal="center"/>
    </xf>
    <xf numFmtId="4" fontId="24" fillId="8" borderId="20" xfId="2" applyNumberFormat="1" applyFont="1" applyFill="1" applyBorder="1" applyAlignment="1">
      <alignment horizontal="center"/>
    </xf>
    <xf numFmtId="4" fontId="10" fillId="7" borderId="0" xfId="0" applyNumberFormat="1" applyFont="1" applyFill="1"/>
    <xf numFmtId="4" fontId="8" fillId="7" borderId="0" xfId="0" applyNumberFormat="1" applyFont="1" applyFill="1"/>
    <xf numFmtId="4" fontId="0" fillId="9" borderId="0" xfId="0" applyNumberFormat="1" applyFill="1" applyBorder="1"/>
    <xf numFmtId="4" fontId="12" fillId="7" borderId="0" xfId="0" applyNumberFormat="1" applyFont="1" applyFill="1" applyBorder="1"/>
    <xf numFmtId="4" fontId="0" fillId="7" borderId="0" xfId="0" applyNumberFormat="1" applyFill="1" applyBorder="1"/>
    <xf numFmtId="4" fontId="15" fillId="7" borderId="0" xfId="0" applyNumberFormat="1" applyFont="1" applyFill="1" applyBorder="1"/>
    <xf numFmtId="4" fontId="16" fillId="7" borderId="0" xfId="0" applyNumberFormat="1" applyFont="1" applyFill="1" applyBorder="1"/>
    <xf numFmtId="4" fontId="17" fillId="7" borderId="0" xfId="0" applyNumberFormat="1" applyFont="1" applyFill="1" applyBorder="1"/>
    <xf numFmtId="4" fontId="13" fillId="7" borderId="0" xfId="0" applyNumberFormat="1" applyFont="1" applyFill="1" applyBorder="1"/>
    <xf numFmtId="4" fontId="14" fillId="7" borderId="0" xfId="0" applyNumberFormat="1" applyFont="1" applyFill="1" applyBorder="1"/>
    <xf numFmtId="4" fontId="18" fillId="7" borderId="0" xfId="0" applyNumberFormat="1" applyFont="1" applyFill="1" applyBorder="1"/>
    <xf numFmtId="4" fontId="0" fillId="7" borderId="0" xfId="0" applyNumberFormat="1" applyFill="1" applyBorder="1" applyAlignment="1">
      <alignment horizontal="center" vertical="top"/>
    </xf>
    <xf numFmtId="4" fontId="17" fillId="9" borderId="1" xfId="0" applyNumberFormat="1" applyFont="1" applyFill="1" applyBorder="1"/>
    <xf numFmtId="4" fontId="17" fillId="9" borderId="2" xfId="0" applyNumberFormat="1" applyFont="1" applyFill="1" applyBorder="1"/>
    <xf numFmtId="4" fontId="0" fillId="9" borderId="2" xfId="0" applyNumberFormat="1" applyFill="1" applyBorder="1"/>
    <xf numFmtId="4" fontId="0" fillId="7" borderId="2" xfId="0" applyNumberFormat="1" applyFill="1" applyBorder="1"/>
    <xf numFmtId="4" fontId="0" fillId="7" borderId="3" xfId="0" applyNumberFormat="1" applyFill="1" applyBorder="1"/>
    <xf numFmtId="4" fontId="0" fillId="9" borderId="4" xfId="0" applyNumberFormat="1" applyFill="1" applyBorder="1"/>
    <xf numFmtId="4" fontId="13" fillId="9" borderId="4" xfId="0" applyNumberFormat="1" applyFont="1" applyFill="1" applyBorder="1"/>
    <xf numFmtId="4" fontId="13" fillId="9" borderId="0" xfId="0" applyNumberFormat="1" applyFont="1" applyFill="1" applyBorder="1"/>
    <xf numFmtId="4" fontId="14" fillId="9" borderId="4" xfId="0" applyNumberFormat="1" applyFont="1" applyFill="1" applyBorder="1"/>
    <xf numFmtId="4" fontId="14" fillId="9" borderId="0" xfId="0" applyNumberFormat="1" applyFont="1" applyFill="1" applyBorder="1"/>
    <xf numFmtId="4" fontId="0" fillId="9" borderId="5" xfId="0" applyNumberFormat="1" applyFill="1" applyBorder="1"/>
    <xf numFmtId="4" fontId="1" fillId="9" borderId="0" xfId="0" applyNumberFormat="1" applyFont="1" applyFill="1" applyBorder="1"/>
    <xf numFmtId="4" fontId="17" fillId="9" borderId="4" xfId="0" applyNumberFormat="1" applyFont="1" applyFill="1" applyBorder="1"/>
    <xf numFmtId="4" fontId="17" fillId="9" borderId="0" xfId="0" applyNumberFormat="1" applyFont="1" applyFill="1" applyBorder="1"/>
    <xf numFmtId="4" fontId="1" fillId="7" borderId="0" xfId="0" applyNumberFormat="1" applyFont="1" applyFill="1" applyBorder="1"/>
    <xf numFmtId="4" fontId="0" fillId="0" borderId="4" xfId="0" applyNumberFormat="1" applyBorder="1"/>
    <xf numFmtId="4" fontId="0" fillId="3" borderId="4" xfId="0" applyNumberFormat="1" applyFill="1" applyBorder="1"/>
    <xf numFmtId="4" fontId="0" fillId="3" borderId="0" xfId="0" applyNumberFormat="1" applyFill="1" applyBorder="1"/>
    <xf numFmtId="4" fontId="0" fillId="3" borderId="5" xfId="0" applyNumberFormat="1" applyFill="1" applyBorder="1"/>
    <xf numFmtId="4" fontId="0" fillId="3" borderId="6" xfId="0" applyNumberFormat="1" applyFill="1" applyBorder="1"/>
    <xf numFmtId="4" fontId="0" fillId="3" borderId="7" xfId="0" applyNumberFormat="1" applyFill="1" applyBorder="1"/>
    <xf numFmtId="4" fontId="0" fillId="3" borderId="8" xfId="0" applyNumberFormat="1" applyFill="1" applyBorder="1"/>
    <xf numFmtId="4" fontId="12" fillId="7" borderId="0" xfId="0" applyNumberFormat="1" applyFont="1" applyFill="1"/>
    <xf numFmtId="4" fontId="16" fillId="7" borderId="0" xfId="0" applyNumberFormat="1" applyFont="1" applyFill="1"/>
    <xf numFmtId="4" fontId="18" fillId="7" borderId="0" xfId="0" applyNumberFormat="1" applyFont="1" applyFill="1"/>
    <xf numFmtId="4" fontId="0" fillId="7" borderId="0" xfId="0" applyNumberFormat="1" applyFill="1" applyAlignment="1">
      <alignment horizontal="center" vertical="top"/>
    </xf>
    <xf numFmtId="4" fontId="17" fillId="0" borderId="1" xfId="0" applyNumberFormat="1" applyFont="1" applyFill="1" applyBorder="1"/>
    <xf numFmtId="4" fontId="17" fillId="0" borderId="2" xfId="0" applyNumberFormat="1" applyFont="1" applyFill="1" applyBorder="1"/>
    <xf numFmtId="4" fontId="0" fillId="0" borderId="2" xfId="0" applyNumberFormat="1" applyBorder="1"/>
    <xf numFmtId="4" fontId="13" fillId="0" borderId="4" xfId="0" applyNumberFormat="1" applyFont="1" applyBorder="1"/>
    <xf numFmtId="4" fontId="13" fillId="0" borderId="0" xfId="0" applyNumberFormat="1" applyFont="1" applyBorder="1"/>
    <xf numFmtId="4" fontId="14" fillId="0" borderId="4" xfId="0" applyNumberFormat="1" applyFont="1" applyBorder="1"/>
    <xf numFmtId="4" fontId="14" fillId="0" borderId="0" xfId="0" applyNumberFormat="1" applyFont="1" applyBorder="1"/>
    <xf numFmtId="4" fontId="1" fillId="0" borderId="0" xfId="0" applyNumberFormat="1" applyFont="1" applyBorder="1"/>
    <xf numFmtId="4" fontId="17" fillId="0" borderId="4" xfId="0" applyNumberFormat="1" applyFont="1" applyFill="1" applyBorder="1"/>
    <xf numFmtId="4" fontId="0" fillId="3" borderId="0" xfId="3" applyNumberFormat="1" applyFont="1" applyFill="1" applyBorder="1"/>
    <xf numFmtId="4" fontId="0" fillId="3" borderId="7" xfId="3" applyNumberFormat="1" applyFont="1" applyFill="1" applyBorder="1"/>
    <xf numFmtId="168" fontId="14" fillId="0" borderId="0" xfId="0" applyNumberFormat="1" applyFont="1"/>
    <xf numFmtId="4" fontId="14" fillId="0" borderId="0" xfId="0" applyNumberFormat="1" applyFont="1" applyAlignment="1">
      <alignment horizontal="center"/>
    </xf>
    <xf numFmtId="4" fontId="0" fillId="0" borderId="0" xfId="2" applyNumberFormat="1" applyFont="1"/>
    <xf numFmtId="4" fontId="26" fillId="10" borderId="21" xfId="0" applyNumberFormat="1" applyFont="1" applyFill="1" applyBorder="1" applyAlignment="1">
      <alignment vertical="center" wrapText="1"/>
    </xf>
    <xf numFmtId="4" fontId="26" fillId="11" borderId="22" xfId="0" applyNumberFormat="1" applyFont="1" applyFill="1" applyBorder="1" applyAlignment="1">
      <alignment horizontal="center" vertical="center" wrapText="1"/>
    </xf>
    <xf numFmtId="4" fontId="26" fillId="11" borderId="23" xfId="0" applyNumberFormat="1" applyFont="1" applyFill="1" applyBorder="1" applyAlignment="1">
      <alignment horizontal="center" vertical="center" wrapText="1"/>
    </xf>
    <xf numFmtId="4" fontId="26" fillId="11" borderId="24" xfId="0" applyNumberFormat="1" applyFont="1" applyFill="1" applyBorder="1" applyAlignment="1">
      <alignment horizontal="center" vertical="center" wrapText="1"/>
    </xf>
    <xf numFmtId="4" fontId="26" fillId="10" borderId="25" xfId="0" applyNumberFormat="1" applyFont="1" applyFill="1" applyBorder="1" applyAlignment="1">
      <alignment horizontal="center" vertical="center" wrapText="1"/>
    </xf>
    <xf numFmtId="4" fontId="27" fillId="12" borderId="26" xfId="0" applyNumberFormat="1" applyFont="1" applyFill="1" applyBorder="1"/>
    <xf numFmtId="4" fontId="27" fillId="12" borderId="23" xfId="0" applyNumberFormat="1" applyFont="1" applyFill="1" applyBorder="1"/>
    <xf numFmtId="4" fontId="26" fillId="0" borderId="27" xfId="0" applyNumberFormat="1" applyFont="1" applyFill="1" applyBorder="1"/>
    <xf numFmtId="4" fontId="26" fillId="0" borderId="27" xfId="3" applyNumberFormat="1" applyFont="1" applyFill="1" applyBorder="1"/>
    <xf numFmtId="4" fontId="28" fillId="0" borderId="28" xfId="3" applyNumberFormat="1" applyFont="1" applyFill="1" applyBorder="1"/>
    <xf numFmtId="4" fontId="20" fillId="0" borderId="28" xfId="3" applyNumberFormat="1" applyFont="1" applyFill="1" applyBorder="1" applyAlignment="1">
      <alignment horizontal="right"/>
    </xf>
    <xf numFmtId="4" fontId="20" fillId="0" borderId="29" xfId="0" applyNumberFormat="1" applyFont="1" applyFill="1" applyBorder="1"/>
    <xf numFmtId="4" fontId="20" fillId="0" borderId="30" xfId="0" applyNumberFormat="1" applyFont="1" applyFill="1" applyBorder="1"/>
    <xf numFmtId="4" fontId="0" fillId="0" borderId="31" xfId="0" applyNumberFormat="1" applyFill="1" applyBorder="1"/>
    <xf numFmtId="4" fontId="0" fillId="0" borderId="32" xfId="3" applyNumberFormat="1" applyFont="1" applyFill="1" applyBorder="1"/>
    <xf numFmtId="4" fontId="26" fillId="0" borderId="31" xfId="0" applyNumberFormat="1" applyFont="1" applyFill="1" applyBorder="1"/>
    <xf numFmtId="4" fontId="26" fillId="0" borderId="31" xfId="3" applyNumberFormat="1" applyFont="1" applyFill="1" applyBorder="1"/>
    <xf numFmtId="4" fontId="28" fillId="0" borderId="33" xfId="3" applyNumberFormat="1" applyFont="1" applyFill="1" applyBorder="1"/>
    <xf numFmtId="4" fontId="20" fillId="0" borderId="33" xfId="3" applyNumberFormat="1" applyFont="1" applyFill="1" applyBorder="1" applyAlignment="1">
      <alignment horizontal="right"/>
    </xf>
    <xf numFmtId="4" fontId="0" fillId="0" borderId="31" xfId="0" applyNumberFormat="1" applyFill="1" applyBorder="1" applyAlignment="1">
      <alignment horizontal="left" indent="1"/>
    </xf>
    <xf numFmtId="4" fontId="28" fillId="0" borderId="31" xfId="3" applyNumberFormat="1" applyFont="1" applyFill="1" applyBorder="1"/>
    <xf numFmtId="4" fontId="20" fillId="0" borderId="34" xfId="0" applyNumberFormat="1" applyFont="1" applyFill="1" applyBorder="1"/>
    <xf numFmtId="4" fontId="0" fillId="0" borderId="32" xfId="2" applyNumberFormat="1" applyFont="1" applyFill="1" applyBorder="1"/>
    <xf numFmtId="4" fontId="26" fillId="0" borderId="35" xfId="0" applyNumberFormat="1" applyFont="1" applyFill="1" applyBorder="1"/>
    <xf numFmtId="4" fontId="26" fillId="0" borderId="35" xfId="3" applyNumberFormat="1" applyFont="1" applyFill="1" applyBorder="1"/>
    <xf numFmtId="4" fontId="26" fillId="0" borderId="36" xfId="3" applyNumberFormat="1" applyFont="1" applyFill="1" applyBorder="1"/>
    <xf numFmtId="4" fontId="20" fillId="0" borderId="37" xfId="0" applyNumberFormat="1" applyFont="1" applyFill="1" applyBorder="1"/>
    <xf numFmtId="4" fontId="20" fillId="0" borderId="38" xfId="0" applyNumberFormat="1" applyFont="1" applyFill="1" applyBorder="1"/>
    <xf numFmtId="4" fontId="20" fillId="0" borderId="31" xfId="5" applyNumberFormat="1" applyFont="1" applyFill="1" applyBorder="1"/>
    <xf numFmtId="4" fontId="27" fillId="0" borderId="31" xfId="3" applyNumberFormat="1" applyFont="1" applyFill="1" applyBorder="1"/>
    <xf numFmtId="4" fontId="28" fillId="0" borderId="33" xfId="3" applyNumberFormat="1" applyFont="1" applyFill="1" applyBorder="1" applyAlignment="1">
      <alignment horizontal="center"/>
    </xf>
    <xf numFmtId="4" fontId="27" fillId="0" borderId="39" xfId="0" applyNumberFormat="1" applyFont="1" applyFill="1" applyBorder="1"/>
    <xf numFmtId="4" fontId="27" fillId="0" borderId="40" xfId="0" applyNumberFormat="1" applyFont="1" applyFill="1" applyBorder="1"/>
    <xf numFmtId="4" fontId="28" fillId="0" borderId="33" xfId="3" applyNumberFormat="1" applyFont="1" applyFill="1" applyBorder="1" applyAlignment="1">
      <alignment horizontal="right"/>
    </xf>
    <xf numFmtId="4" fontId="28" fillId="0" borderId="31" xfId="6" applyNumberFormat="1" applyFont="1" applyFill="1" applyBorder="1"/>
    <xf numFmtId="4" fontId="26" fillId="0" borderId="35" xfId="6" applyNumberFormat="1" applyFont="1" applyFill="1" applyBorder="1"/>
    <xf numFmtId="4" fontId="27" fillId="0" borderId="35" xfId="3" applyNumberFormat="1" applyFont="1" applyFill="1" applyBorder="1"/>
    <xf numFmtId="4" fontId="27" fillId="0" borderId="36" xfId="3" applyNumberFormat="1" applyFont="1" applyFill="1" applyBorder="1"/>
    <xf numFmtId="4" fontId="0" fillId="0" borderId="31" xfId="0" applyNumberFormat="1" applyBorder="1"/>
    <xf numFmtId="4" fontId="0" fillId="0" borderId="32" xfId="2" applyNumberFormat="1" applyFont="1" applyBorder="1"/>
    <xf numFmtId="4" fontId="26" fillId="0" borderId="31" xfId="6" applyNumberFormat="1" applyFont="1" applyFill="1" applyBorder="1"/>
    <xf numFmtId="4" fontId="20" fillId="0" borderId="31" xfId="3" applyNumberFormat="1" applyFont="1" applyFill="1" applyBorder="1"/>
    <xf numFmtId="4" fontId="26" fillId="0" borderId="33" xfId="3" applyNumberFormat="1" applyFont="1" applyFill="1" applyBorder="1" applyAlignment="1">
      <alignment horizontal="center"/>
    </xf>
    <xf numFmtId="4" fontId="27" fillId="0" borderId="33" xfId="3" applyNumberFormat="1" applyFont="1" applyFill="1" applyBorder="1" applyAlignment="1">
      <alignment horizontal="center"/>
    </xf>
    <xf numFmtId="4" fontId="0" fillId="0" borderId="32" xfId="3" applyNumberFormat="1" applyFont="1" applyBorder="1"/>
    <xf numFmtId="4" fontId="27" fillId="0" borderId="35" xfId="3" applyNumberFormat="1" applyFont="1" applyFill="1" applyBorder="1" applyAlignment="1">
      <alignment horizontal="center"/>
    </xf>
    <xf numFmtId="4" fontId="26" fillId="0" borderId="36" xfId="3" applyNumberFormat="1" applyFont="1" applyFill="1" applyBorder="1" applyAlignment="1">
      <alignment horizontal="center"/>
    </xf>
    <xf numFmtId="4" fontId="27" fillId="0" borderId="36" xfId="3" applyNumberFormat="1" applyFont="1" applyFill="1" applyBorder="1" applyAlignment="1">
      <alignment horizontal="center"/>
    </xf>
    <xf numFmtId="4" fontId="20" fillId="0" borderId="41" xfId="0" applyNumberFormat="1" applyFont="1" applyFill="1" applyBorder="1"/>
    <xf numFmtId="4" fontId="0" fillId="0" borderId="42" xfId="0" applyNumberFormat="1" applyBorder="1"/>
    <xf numFmtId="4" fontId="0" fillId="0" borderId="43" xfId="3" applyNumberFormat="1" applyFont="1" applyBorder="1"/>
    <xf numFmtId="4" fontId="20" fillId="0" borderId="33" xfId="3" applyNumberFormat="1" applyFont="1" applyFill="1" applyBorder="1"/>
    <xf numFmtId="4" fontId="26" fillId="0" borderId="44" xfId="0" applyNumberFormat="1" applyFont="1" applyFill="1" applyBorder="1"/>
    <xf numFmtId="4" fontId="27" fillId="0" borderId="44" xfId="3" applyNumberFormat="1" applyFont="1" applyFill="1" applyBorder="1"/>
    <xf numFmtId="4" fontId="27" fillId="0" borderId="45" xfId="3" applyNumberFormat="1" applyFont="1" applyFill="1" applyBorder="1"/>
    <xf numFmtId="4" fontId="20" fillId="0" borderId="46" xfId="0" applyNumberFormat="1" applyFont="1" applyFill="1" applyBorder="1"/>
    <xf numFmtId="4" fontId="20" fillId="0" borderId="47" xfId="0" applyNumberFormat="1" applyFont="1" applyFill="1" applyBorder="1"/>
    <xf numFmtId="4" fontId="26" fillId="11" borderId="25" xfId="0" applyNumberFormat="1" applyFont="1" applyFill="1" applyBorder="1" applyAlignment="1">
      <alignment horizontal="center" vertical="center" wrapText="1"/>
    </xf>
    <xf numFmtId="4" fontId="26" fillId="11" borderId="48" xfId="0" applyNumberFormat="1" applyFont="1" applyFill="1" applyBorder="1" applyAlignment="1">
      <alignment horizontal="center" vertical="center" wrapText="1"/>
    </xf>
    <xf numFmtId="4" fontId="26" fillId="11" borderId="49" xfId="0" applyNumberFormat="1" applyFont="1" applyFill="1" applyBorder="1" applyAlignment="1">
      <alignment horizontal="center" vertical="center" wrapText="1"/>
    </xf>
    <xf numFmtId="4" fontId="26" fillId="11" borderId="49" xfId="0" applyNumberFormat="1" applyFont="1" applyFill="1" applyBorder="1" applyAlignment="1">
      <alignment horizontal="center" wrapText="1"/>
    </xf>
    <xf numFmtId="4" fontId="20" fillId="0" borderId="50" xfId="0" applyNumberFormat="1" applyFont="1" applyFill="1" applyBorder="1"/>
    <xf numFmtId="4" fontId="20" fillId="0" borderId="51" xfId="0" applyNumberFormat="1" applyFont="1" applyFill="1" applyBorder="1"/>
    <xf numFmtId="4" fontId="26" fillId="0" borderId="52" xfId="0" applyNumberFormat="1" applyFont="1" applyFill="1" applyBorder="1"/>
    <xf numFmtId="4" fontId="0" fillId="0" borderId="52" xfId="3" applyNumberFormat="1" applyFont="1" applyBorder="1"/>
    <xf numFmtId="4" fontId="0" fillId="0" borderId="22" xfId="3" applyNumberFormat="1" applyFont="1" applyBorder="1"/>
    <xf numFmtId="4" fontId="0" fillId="0" borderId="7" xfId="3" applyNumberFormat="1" applyFont="1" applyBorder="1"/>
    <xf numFmtId="4" fontId="0" fillId="0" borderId="35" xfId="3" applyNumberFormat="1" applyFont="1" applyBorder="1"/>
    <xf numFmtId="4" fontId="0" fillId="0" borderId="36" xfId="3" applyNumberFormat="1" applyFont="1" applyBorder="1"/>
    <xf numFmtId="4" fontId="0" fillId="0" borderId="53" xfId="3" applyNumberFormat="1" applyFont="1" applyBorder="1"/>
    <xf numFmtId="4" fontId="26" fillId="0" borderId="42" xfId="0" applyNumberFormat="1" applyFont="1" applyFill="1" applyBorder="1"/>
    <xf numFmtId="168" fontId="0" fillId="0" borderId="42" xfId="0" applyNumberFormat="1" applyBorder="1"/>
    <xf numFmtId="168" fontId="0" fillId="0" borderId="54" xfId="0" applyNumberFormat="1" applyBorder="1"/>
    <xf numFmtId="168" fontId="0" fillId="0" borderId="55" xfId="0" applyNumberFormat="1" applyBorder="1"/>
    <xf numFmtId="4" fontId="26" fillId="0" borderId="21" xfId="0" applyNumberFormat="1" applyFont="1" applyFill="1" applyBorder="1"/>
    <xf numFmtId="4" fontId="0" fillId="0" borderId="21" xfId="0" applyNumberFormat="1" applyBorder="1"/>
    <xf numFmtId="4" fontId="0" fillId="0" borderId="25" xfId="2" applyNumberFormat="1" applyFont="1" applyBorder="1"/>
    <xf numFmtId="4" fontId="26" fillId="0" borderId="0" xfId="0" applyNumberFormat="1" applyFont="1" applyFill="1" applyBorder="1" applyAlignment="1">
      <alignment horizontal="left" vertical="center" wrapText="1"/>
    </xf>
    <xf numFmtId="4" fontId="20" fillId="0" borderId="0" xfId="0" applyNumberFormat="1" applyFont="1" applyFill="1" applyBorder="1"/>
    <xf numFmtId="169" fontId="14" fillId="0" borderId="0" xfId="0" applyNumberFormat="1" applyFont="1"/>
    <xf numFmtId="169" fontId="0" fillId="0" borderId="0" xfId="0" applyNumberFormat="1"/>
    <xf numFmtId="4" fontId="9" fillId="7" borderId="0" xfId="0" applyNumberFormat="1" applyFont="1" applyFill="1" applyBorder="1"/>
    <xf numFmtId="4" fontId="26" fillId="0" borderId="52" xfId="0" applyNumberFormat="1" applyFont="1" applyFill="1" applyBorder="1" applyAlignment="1">
      <alignment horizontal="left"/>
    </xf>
    <xf numFmtId="4" fontId="1" fillId="0" borderId="56" xfId="3" applyNumberFormat="1" applyFont="1" applyFill="1" applyBorder="1"/>
    <xf numFmtId="4" fontId="5" fillId="0" borderId="0" xfId="0" applyNumberFormat="1" applyFont="1"/>
    <xf numFmtId="4" fontId="20" fillId="3" borderId="31" xfId="5" applyNumberFormat="1" applyFont="1" applyFill="1" applyBorder="1"/>
    <xf numFmtId="4" fontId="27" fillId="3" borderId="31" xfId="3" applyNumberFormat="1" applyFont="1" applyFill="1" applyBorder="1"/>
    <xf numFmtId="4" fontId="28" fillId="3" borderId="33" xfId="3" applyNumberFormat="1" applyFont="1" applyFill="1" applyBorder="1" applyAlignment="1">
      <alignment horizontal="center"/>
    </xf>
    <xf numFmtId="4" fontId="20" fillId="3" borderId="33" xfId="3" applyNumberFormat="1" applyFont="1" applyFill="1" applyBorder="1" applyAlignment="1">
      <alignment horizontal="right"/>
    </xf>
    <xf numFmtId="4" fontId="28" fillId="3" borderId="33" xfId="3" applyNumberFormat="1" applyFont="1" applyFill="1" applyBorder="1" applyAlignment="1">
      <alignment horizontal="right"/>
    </xf>
    <xf numFmtId="4" fontId="28" fillId="3" borderId="31" xfId="6" applyNumberFormat="1" applyFont="1" applyFill="1" applyBorder="1"/>
    <xf numFmtId="169" fontId="0" fillId="0" borderId="42" xfId="0" applyNumberFormat="1" applyBorder="1"/>
    <xf numFmtId="169" fontId="0" fillId="0" borderId="54" xfId="0" applyNumberFormat="1" applyBorder="1"/>
    <xf numFmtId="169" fontId="0" fillId="0" borderId="55" xfId="0" applyNumberFormat="1" applyBorder="1"/>
    <xf numFmtId="4" fontId="0" fillId="13" borderId="0" xfId="0" applyNumberFormat="1" applyFill="1"/>
    <xf numFmtId="4" fontId="14" fillId="14" borderId="0" xfId="0" applyNumberFormat="1" applyFont="1" applyFill="1"/>
    <xf numFmtId="4" fontId="29" fillId="0" borderId="0" xfId="0" applyNumberFormat="1" applyFont="1"/>
    <xf numFmtId="4" fontId="13" fillId="0" borderId="0" xfId="0" applyNumberFormat="1" applyFont="1" applyAlignment="1">
      <alignment vertical="top" wrapText="1"/>
    </xf>
    <xf numFmtId="170" fontId="14" fillId="0" borderId="0" xfId="0" applyNumberFormat="1" applyFont="1"/>
    <xf numFmtId="4" fontId="0" fillId="0" borderId="54" xfId="0" applyNumberFormat="1" applyBorder="1"/>
    <xf numFmtId="4" fontId="0" fillId="0" borderId="55" xfId="0" applyNumberFormat="1" applyBorder="1"/>
    <xf numFmtId="4" fontId="0" fillId="0" borderId="21" xfId="0" applyNumberFormat="1" applyFill="1" applyBorder="1"/>
    <xf numFmtId="4" fontId="1" fillId="0" borderId="0" xfId="0" applyNumberFormat="1" applyFont="1" applyFill="1"/>
    <xf numFmtId="4" fontId="26" fillId="0" borderId="27" xfId="0" applyNumberFormat="1" applyFont="1" applyFill="1" applyBorder="1" applyAlignment="1">
      <alignment horizontal="left"/>
    </xf>
    <xf numFmtId="4" fontId="28" fillId="0" borderId="31" xfId="0" applyNumberFormat="1" applyFont="1" applyFill="1" applyBorder="1" applyAlignment="1">
      <alignment horizontal="left"/>
    </xf>
    <xf numFmtId="4" fontId="0" fillId="0" borderId="58" xfId="3" applyNumberFormat="1" applyFont="1" applyFill="1" applyBorder="1"/>
    <xf numFmtId="4" fontId="0" fillId="0" borderId="58" xfId="0" applyNumberFormat="1" applyFill="1" applyBorder="1"/>
    <xf numFmtId="4" fontId="0" fillId="0" borderId="32" xfId="0" applyNumberFormat="1" applyBorder="1"/>
    <xf numFmtId="4" fontId="28" fillId="0" borderId="31" xfId="0" applyNumberFormat="1" applyFont="1" applyFill="1" applyBorder="1"/>
    <xf numFmtId="4" fontId="28" fillId="0" borderId="31" xfId="0" applyNumberFormat="1" applyFont="1" applyFill="1" applyBorder="1" applyAlignment="1">
      <alignment horizontal="left" indent="1"/>
    </xf>
    <xf numFmtId="4" fontId="0" fillId="0" borderId="58" xfId="0" applyNumberFormat="1" applyBorder="1"/>
    <xf numFmtId="4" fontId="5" fillId="0" borderId="58" xfId="3" applyNumberFormat="1" applyFont="1" applyFill="1" applyBorder="1"/>
    <xf numFmtId="4" fontId="26" fillId="0" borderId="31" xfId="0" applyNumberFormat="1" applyFont="1" applyFill="1" applyBorder="1" applyAlignment="1">
      <alignment horizontal="left"/>
    </xf>
    <xf numFmtId="4" fontId="1" fillId="0" borderId="58" xfId="3" applyNumberFormat="1" applyFont="1" applyFill="1" applyBorder="1"/>
    <xf numFmtId="4" fontId="0" fillId="0" borderId="32" xfId="0" applyNumberFormat="1" applyFill="1" applyBorder="1"/>
    <xf numFmtId="4" fontId="0" fillId="0" borderId="58" xfId="3" applyNumberFormat="1" applyFont="1" applyBorder="1"/>
    <xf numFmtId="4" fontId="1" fillId="0" borderId="31" xfId="0" applyNumberFormat="1" applyFont="1" applyBorder="1"/>
    <xf numFmtId="4" fontId="0" fillId="0" borderId="31" xfId="0" applyNumberFormat="1" applyFont="1" applyBorder="1"/>
    <xf numFmtId="4" fontId="28" fillId="0" borderId="42" xfId="6" applyNumberFormat="1" applyFont="1" applyFill="1" applyBorder="1"/>
    <xf numFmtId="4" fontId="0" fillId="0" borderId="59" xfId="3" applyNumberFormat="1" applyFont="1" applyFill="1" applyBorder="1"/>
    <xf numFmtId="4" fontId="0" fillId="0" borderId="0" xfId="0" applyNumberFormat="1" applyFill="1"/>
    <xf numFmtId="4" fontId="27" fillId="4" borderId="62" xfId="0" applyNumberFormat="1" applyFont="1" applyFill="1" applyBorder="1"/>
    <xf numFmtId="4" fontId="20" fillId="4" borderId="64" xfId="0" applyNumberFormat="1" applyFont="1" applyFill="1" applyBorder="1"/>
    <xf numFmtId="4" fontId="20" fillId="0" borderId="20" xfId="0" applyNumberFormat="1" applyFont="1" applyFill="1" applyBorder="1"/>
    <xf numFmtId="4" fontId="20" fillId="4" borderId="65" xfId="0" applyNumberFormat="1" applyFont="1" applyFill="1" applyBorder="1"/>
    <xf numFmtId="4" fontId="20" fillId="4" borderId="66" xfId="0" applyNumberFormat="1" applyFont="1" applyFill="1" applyBorder="1"/>
    <xf numFmtId="4" fontId="20" fillId="0" borderId="67" xfId="0" applyNumberFormat="1" applyFont="1" applyFill="1" applyBorder="1"/>
    <xf numFmtId="4" fontId="20" fillId="7" borderId="67" xfId="0" applyNumberFormat="1" applyFont="1" applyFill="1" applyBorder="1"/>
    <xf numFmtId="4" fontId="20" fillId="4" borderId="68" xfId="0" applyNumberFormat="1" applyFont="1" applyFill="1" applyBorder="1"/>
    <xf numFmtId="4" fontId="20" fillId="0" borderId="58" xfId="0" applyNumberFormat="1" applyFont="1" applyFill="1" applyBorder="1"/>
    <xf numFmtId="4" fontId="20" fillId="4" borderId="69" xfId="0" applyNumberFormat="1" applyFont="1" applyFill="1" applyBorder="1"/>
    <xf numFmtId="4" fontId="34" fillId="0" borderId="0" xfId="0" applyNumberFormat="1" applyFont="1"/>
    <xf numFmtId="49" fontId="0" fillId="0" borderId="57" xfId="0" applyNumberFormat="1" applyFill="1" applyBorder="1"/>
    <xf numFmtId="4" fontId="0" fillId="0" borderId="4" xfId="0" applyNumberFormat="1" applyFill="1" applyBorder="1"/>
    <xf numFmtId="4" fontId="0" fillId="0" borderId="4" xfId="3" applyNumberFormat="1" applyFont="1" applyFill="1" applyBorder="1"/>
    <xf numFmtId="4" fontId="1" fillId="0" borderId="4" xfId="3" applyNumberFormat="1" applyFont="1" applyFill="1" applyBorder="1"/>
    <xf numFmtId="4" fontId="0" fillId="0" borderId="4" xfId="3" applyNumberFormat="1" applyFont="1" applyBorder="1"/>
    <xf numFmtId="4" fontId="1" fillId="0" borderId="32" xfId="3" applyNumberFormat="1" applyFont="1" applyFill="1" applyBorder="1"/>
    <xf numFmtId="49" fontId="33" fillId="15" borderId="63" xfId="0" applyNumberFormat="1" applyFont="1" applyFill="1" applyBorder="1" applyAlignment="1">
      <alignment horizontal="center" wrapText="1"/>
    </xf>
    <xf numFmtId="49" fontId="33" fillId="15" borderId="63" xfId="0" applyNumberFormat="1" applyFont="1" applyFill="1" applyBorder="1"/>
    <xf numFmtId="49" fontId="27" fillId="12" borderId="23" xfId="0" applyNumberFormat="1" applyFont="1" applyFill="1" applyBorder="1"/>
    <xf numFmtId="4" fontId="0" fillId="4" borderId="58" xfId="3" applyNumberFormat="1" applyFont="1" applyFill="1" applyBorder="1"/>
    <xf numFmtId="4" fontId="0" fillId="4" borderId="4" xfId="3" applyNumberFormat="1" applyFont="1" applyFill="1" applyBorder="1"/>
    <xf numFmtId="4" fontId="0" fillId="4" borderId="32" xfId="3" applyNumberFormat="1" applyFont="1" applyFill="1" applyBorder="1"/>
    <xf numFmtId="0" fontId="0" fillId="16" borderId="1" xfId="0" applyFill="1" applyBorder="1" applyProtection="1">
      <protection hidden="1"/>
    </xf>
    <xf numFmtId="0" fontId="0" fillId="16" borderId="2" xfId="0" applyFill="1" applyBorder="1" applyProtection="1">
      <protection hidden="1"/>
    </xf>
    <xf numFmtId="0" fontId="0" fillId="16" borderId="3" xfId="0" applyFill="1" applyBorder="1" applyProtection="1">
      <protection hidden="1"/>
    </xf>
    <xf numFmtId="0" fontId="0" fillId="0" borderId="0" xfId="0" applyProtection="1">
      <protection hidden="1"/>
    </xf>
    <xf numFmtId="0" fontId="0" fillId="16" borderId="4" xfId="0" applyFill="1" applyBorder="1" applyProtection="1">
      <protection hidden="1"/>
    </xf>
    <xf numFmtId="0" fontId="39" fillId="16" borderId="0" xfId="0" applyFont="1" applyFill="1" applyBorder="1" applyProtection="1">
      <protection hidden="1"/>
    </xf>
    <xf numFmtId="0" fontId="0" fillId="16" borderId="5" xfId="0" applyFill="1" applyBorder="1" applyProtection="1">
      <protection hidden="1"/>
    </xf>
    <xf numFmtId="0" fontId="37" fillId="16" borderId="0" xfId="0" applyFont="1" applyFill="1" applyBorder="1" applyAlignment="1" applyProtection="1">
      <alignment vertical="center" wrapText="1"/>
      <protection hidden="1"/>
    </xf>
    <xf numFmtId="0" fontId="38" fillId="16" borderId="0" xfId="0" applyFont="1" applyFill="1" applyBorder="1" applyAlignment="1" applyProtection="1">
      <alignment vertical="center" wrapText="1"/>
      <protection hidden="1"/>
    </xf>
    <xf numFmtId="0" fontId="36" fillId="16" borderId="0" xfId="0" applyFont="1" applyFill="1" applyBorder="1" applyAlignment="1" applyProtection="1">
      <alignment vertical="center" wrapText="1"/>
      <protection hidden="1"/>
    </xf>
    <xf numFmtId="0" fontId="39" fillId="16" borderId="0" xfId="0" applyFont="1" applyFill="1" applyBorder="1" applyAlignment="1" applyProtection="1">
      <alignment vertical="center" wrapText="1"/>
      <protection hidden="1"/>
    </xf>
    <xf numFmtId="0" fontId="3" fillId="16" borderId="0" xfId="0" applyFont="1" applyFill="1" applyBorder="1" applyAlignment="1" applyProtection="1">
      <alignment vertical="center" wrapText="1"/>
      <protection hidden="1"/>
    </xf>
    <xf numFmtId="0" fontId="36" fillId="16" borderId="0" xfId="0" applyFont="1" applyFill="1" applyBorder="1" applyAlignment="1" applyProtection="1">
      <alignment horizontal="left" vertical="center" wrapText="1"/>
      <protection hidden="1"/>
    </xf>
    <xf numFmtId="0" fontId="0" fillId="16" borderId="6" xfId="0" applyFill="1" applyBorder="1" applyProtection="1">
      <protection hidden="1"/>
    </xf>
    <xf numFmtId="0" fontId="0" fillId="16" borderId="8" xfId="0" applyFill="1" applyBorder="1" applyProtection="1">
      <protection hidden="1"/>
    </xf>
    <xf numFmtId="0" fontId="41" fillId="0" borderId="0" xfId="0" applyFont="1" applyProtection="1">
      <protection hidden="1"/>
    </xf>
    <xf numFmtId="0" fontId="1" fillId="0" borderId="18" xfId="0" applyFont="1" applyBorder="1" applyProtection="1">
      <protection hidden="1"/>
    </xf>
    <xf numFmtId="0" fontId="3" fillId="5" borderId="1" xfId="0" applyFont="1" applyFill="1" applyBorder="1" applyProtection="1">
      <protection hidden="1"/>
    </xf>
    <xf numFmtId="0" fontId="3" fillId="5" borderId="2" xfId="0" applyFont="1" applyFill="1" applyBorder="1" applyProtection="1">
      <protection hidden="1"/>
    </xf>
    <xf numFmtId="0" fontId="3" fillId="5" borderId="4" xfId="0" applyFont="1" applyFill="1" applyBorder="1" applyProtection="1">
      <protection hidden="1"/>
    </xf>
    <xf numFmtId="0" fontId="3" fillId="5" borderId="0" xfId="0" applyFont="1" applyFill="1" applyBorder="1" applyProtection="1">
      <protection hidden="1"/>
    </xf>
    <xf numFmtId="0" fontId="3" fillId="5" borderId="5" xfId="0" applyFont="1" applyFill="1" applyBorder="1" applyProtection="1">
      <protection hidden="1"/>
    </xf>
    <xf numFmtId="0" fontId="0" fillId="0" borderId="4" xfId="0" applyBorder="1" applyProtection="1">
      <protection hidden="1"/>
    </xf>
    <xf numFmtId="0" fontId="0" fillId="0" borderId="0" xfId="0" applyBorder="1" applyProtection="1">
      <protection hidden="1"/>
    </xf>
    <xf numFmtId="0" fontId="0" fillId="0" borderId="6" xfId="0" applyBorder="1" applyProtection="1">
      <protection hidden="1"/>
    </xf>
    <xf numFmtId="0" fontId="0" fillId="0" borderId="7" xfId="0" applyBorder="1" applyProtection="1">
      <protection hidden="1"/>
    </xf>
    <xf numFmtId="0" fontId="36" fillId="16" borderId="0" xfId="0" applyFont="1" applyFill="1" applyProtection="1">
      <protection hidden="1"/>
    </xf>
    <xf numFmtId="9" fontId="36" fillId="16" borderId="0" xfId="0" applyNumberFormat="1" applyFont="1" applyFill="1" applyBorder="1" applyProtection="1">
      <protection locked="0"/>
    </xf>
    <xf numFmtId="9" fontId="36" fillId="16" borderId="7" xfId="0" applyNumberFormat="1" applyFont="1" applyFill="1" applyBorder="1" applyProtection="1">
      <protection locked="0"/>
    </xf>
    <xf numFmtId="9" fontId="36" fillId="16" borderId="8" xfId="0" applyNumberFormat="1" applyFont="1" applyFill="1" applyBorder="1" applyProtection="1">
      <protection locked="0"/>
    </xf>
    <xf numFmtId="0" fontId="3" fillId="2" borderId="18" xfId="0" applyFont="1" applyFill="1" applyBorder="1" applyProtection="1">
      <protection hidden="1"/>
    </xf>
    <xf numFmtId="0" fontId="0" fillId="0" borderId="19" xfId="0" applyBorder="1" applyProtection="1">
      <protection hidden="1"/>
    </xf>
    <xf numFmtId="0" fontId="3" fillId="2" borderId="1" xfId="0" applyFont="1" applyFill="1" applyBorder="1" applyProtection="1">
      <protection hidden="1"/>
    </xf>
    <xf numFmtId="0" fontId="3" fillId="2" borderId="2" xfId="0" applyFont="1" applyFill="1" applyBorder="1" applyProtection="1">
      <protection hidden="1"/>
    </xf>
    <xf numFmtId="0" fontId="3" fillId="2" borderId="3" xfId="0" applyFont="1" applyFill="1" applyBorder="1" applyProtection="1">
      <protection hidden="1"/>
    </xf>
    <xf numFmtId="0" fontId="3" fillId="2" borderId="4" xfId="0" applyFont="1" applyFill="1" applyBorder="1" applyProtection="1">
      <protection hidden="1"/>
    </xf>
    <xf numFmtId="0" fontId="3" fillId="2" borderId="0" xfId="0" applyFont="1" applyFill="1" applyBorder="1" applyProtection="1">
      <protection hidden="1"/>
    </xf>
    <xf numFmtId="0" fontId="3" fillId="2" borderId="5" xfId="0" applyFont="1" applyFill="1" applyBorder="1" applyProtection="1">
      <protection hidden="1"/>
    </xf>
    <xf numFmtId="1" fontId="0" fillId="0" borderId="0" xfId="0" applyNumberFormat="1" applyBorder="1" applyProtection="1">
      <protection hidden="1"/>
    </xf>
    <xf numFmtId="1" fontId="0" fillId="0" borderId="5" xfId="0" applyNumberFormat="1" applyBorder="1" applyProtection="1">
      <protection hidden="1"/>
    </xf>
    <xf numFmtId="0" fontId="1" fillId="0" borderId="9" xfId="0" applyFont="1" applyBorder="1" applyProtection="1">
      <protection hidden="1"/>
    </xf>
    <xf numFmtId="0" fontId="0" fillId="0" borderId="10" xfId="0" applyBorder="1" applyProtection="1">
      <protection hidden="1"/>
    </xf>
    <xf numFmtId="3" fontId="0" fillId="0" borderId="10" xfId="0" applyNumberFormat="1" applyBorder="1" applyProtection="1">
      <protection hidden="1"/>
    </xf>
    <xf numFmtId="3" fontId="0" fillId="0" borderId="11" xfId="0" applyNumberFormat="1" applyBorder="1" applyProtection="1">
      <protection hidden="1"/>
    </xf>
    <xf numFmtId="3" fontId="0" fillId="0" borderId="0" xfId="0" applyNumberFormat="1" applyBorder="1" applyProtection="1">
      <protection hidden="1"/>
    </xf>
    <xf numFmtId="3" fontId="0" fillId="0" borderId="5" xfId="0" applyNumberFormat="1" applyBorder="1" applyProtection="1">
      <protection hidden="1"/>
    </xf>
    <xf numFmtId="3" fontId="0" fillId="0" borderId="7" xfId="0" applyNumberFormat="1" applyBorder="1" applyProtection="1">
      <protection hidden="1"/>
    </xf>
    <xf numFmtId="3" fontId="0" fillId="0" borderId="8" xfId="0" applyNumberFormat="1" applyBorder="1" applyProtection="1">
      <protection hidden="1"/>
    </xf>
    <xf numFmtId="4" fontId="0" fillId="0" borderId="10" xfId="0" applyNumberFormat="1" applyBorder="1" applyProtection="1">
      <protection hidden="1"/>
    </xf>
    <xf numFmtId="4" fontId="0" fillId="0" borderId="11" xfId="0" applyNumberFormat="1" applyBorder="1" applyProtection="1">
      <protection hidden="1"/>
    </xf>
    <xf numFmtId="4" fontId="0" fillId="0" borderId="0" xfId="0" applyNumberFormat="1" applyFill="1" applyBorder="1" applyProtection="1">
      <protection hidden="1"/>
    </xf>
    <xf numFmtId="4" fontId="0" fillId="0" borderId="0" xfId="0" applyNumberFormat="1" applyBorder="1" applyProtection="1">
      <protection hidden="1"/>
    </xf>
    <xf numFmtId="4" fontId="0" fillId="0" borderId="5" xfId="0" applyNumberFormat="1" applyBorder="1" applyProtection="1">
      <protection hidden="1"/>
    </xf>
    <xf numFmtId="165" fontId="0" fillId="0" borderId="0" xfId="1" applyNumberFormat="1" applyFont="1" applyProtection="1">
      <protection hidden="1"/>
    </xf>
    <xf numFmtId="4" fontId="0" fillId="0" borderId="16" xfId="0" applyNumberFormat="1" applyBorder="1" applyProtection="1">
      <protection hidden="1"/>
    </xf>
    <xf numFmtId="4" fontId="0" fillId="0" borderId="17" xfId="0" applyNumberFormat="1" applyBorder="1" applyProtection="1">
      <protection hidden="1"/>
    </xf>
    <xf numFmtId="4" fontId="0" fillId="0" borderId="7" xfId="0" applyNumberFormat="1" applyBorder="1" applyProtection="1">
      <protection hidden="1"/>
    </xf>
    <xf numFmtId="4" fontId="0" fillId="0" borderId="8" xfId="0" applyNumberFormat="1" applyBorder="1" applyProtection="1">
      <protection hidden="1"/>
    </xf>
    <xf numFmtId="0" fontId="0" fillId="0" borderId="0" xfId="0" applyFont="1" applyProtection="1">
      <protection hidden="1"/>
    </xf>
    <xf numFmtId="0" fontId="0" fillId="0" borderId="2" xfId="0" applyFill="1" applyBorder="1" applyProtection="1">
      <protection hidden="1"/>
    </xf>
    <xf numFmtId="2" fontId="0" fillId="0" borderId="0" xfId="0" applyNumberFormat="1" applyFill="1" applyBorder="1" applyProtection="1">
      <protection hidden="1"/>
    </xf>
    <xf numFmtId="2" fontId="0" fillId="0" borderId="7" xfId="0" applyNumberFormat="1" applyBorder="1" applyProtection="1">
      <protection hidden="1"/>
    </xf>
    <xf numFmtId="2" fontId="0" fillId="0" borderId="8" xfId="0" applyNumberFormat="1" applyBorder="1" applyProtection="1">
      <protection hidden="1"/>
    </xf>
    <xf numFmtId="0" fontId="0" fillId="0" borderId="0" xfId="0" applyFill="1" applyBorder="1" applyProtection="1">
      <protection hidden="1"/>
    </xf>
    <xf numFmtId="10" fontId="0" fillId="0" borderId="0" xfId="0" applyNumberFormat="1" applyProtection="1">
      <protection hidden="1"/>
    </xf>
    <xf numFmtId="0" fontId="4" fillId="0" borderId="0" xfId="0" applyFont="1" applyProtection="1">
      <protection hidden="1"/>
    </xf>
    <xf numFmtId="0" fontId="0" fillId="0" borderId="1" xfId="0" applyFont="1" applyBorder="1" applyProtection="1">
      <protection hidden="1"/>
    </xf>
    <xf numFmtId="0" fontId="0" fillId="0" borderId="3" xfId="0" applyFill="1" applyBorder="1" applyProtection="1">
      <protection hidden="1"/>
    </xf>
    <xf numFmtId="0" fontId="8" fillId="0" borderId="0" xfId="0" applyFont="1" applyProtection="1">
      <protection hidden="1"/>
    </xf>
    <xf numFmtId="0" fontId="0" fillId="0" borderId="4" xfId="0" applyFont="1" applyBorder="1" applyProtection="1">
      <protection hidden="1"/>
    </xf>
    <xf numFmtId="0" fontId="0" fillId="0" borderId="6" xfId="0" applyFont="1" applyBorder="1" applyProtection="1">
      <protection hidden="1"/>
    </xf>
    <xf numFmtId="0" fontId="8" fillId="0" borderId="0" xfId="0" applyFont="1" applyAlignment="1" applyProtection="1">
      <alignment vertical="center"/>
      <protection hidden="1"/>
    </xf>
    <xf numFmtId="0" fontId="0" fillId="0" borderId="4" xfId="0" applyBorder="1" applyAlignment="1" applyProtection="1">
      <alignment horizontal="left" indent="1"/>
      <protection hidden="1"/>
    </xf>
    <xf numFmtId="3" fontId="0" fillId="0" borderId="7" xfId="0" applyNumberFormat="1" applyBorder="1" applyAlignment="1" applyProtection="1">
      <alignment horizontal="right"/>
      <protection hidden="1"/>
    </xf>
    <xf numFmtId="9" fontId="0" fillId="0" borderId="7" xfId="2" applyFont="1" applyBorder="1" applyAlignment="1" applyProtection="1">
      <alignment horizontal="right"/>
      <protection hidden="1"/>
    </xf>
    <xf numFmtId="9" fontId="0" fillId="0" borderId="8" xfId="2" applyFont="1" applyBorder="1" applyAlignment="1" applyProtection="1">
      <alignment horizontal="right"/>
      <protection hidden="1"/>
    </xf>
    <xf numFmtId="0" fontId="1" fillId="0" borderId="0" xfId="0" applyFont="1" applyBorder="1" applyProtection="1">
      <protection hidden="1"/>
    </xf>
    <xf numFmtId="0" fontId="36" fillId="16" borderId="5" xfId="0" applyFont="1" applyFill="1" applyBorder="1" applyProtection="1">
      <protection locked="0"/>
    </xf>
    <xf numFmtId="3" fontId="36" fillId="16" borderId="5" xfId="0" applyNumberFormat="1" applyFont="1" applyFill="1" applyBorder="1" applyProtection="1">
      <protection locked="0"/>
    </xf>
    <xf numFmtId="0" fontId="36" fillId="16" borderId="3" xfId="0" applyFont="1" applyFill="1" applyBorder="1" applyProtection="1">
      <protection locked="0"/>
    </xf>
    <xf numFmtId="0" fontId="6" fillId="0" borderId="0" xfId="0" applyFont="1" applyProtection="1">
      <protection hidden="1"/>
    </xf>
    <xf numFmtId="0" fontId="0" fillId="0" borderId="0" xfId="0" applyAlignment="1" applyProtection="1">
      <alignment vertical="top" wrapText="1"/>
      <protection hidden="1"/>
    </xf>
    <xf numFmtId="0" fontId="40" fillId="0" borderId="0" xfId="0" applyFont="1" applyProtection="1">
      <protection hidden="1"/>
    </xf>
    <xf numFmtId="0" fontId="3" fillId="2" borderId="20" xfId="0" applyFont="1" applyFill="1" applyBorder="1" applyProtection="1">
      <protection hidden="1"/>
    </xf>
    <xf numFmtId="0" fontId="8" fillId="0" borderId="20" xfId="0" applyFont="1" applyBorder="1" applyProtection="1">
      <protection hidden="1"/>
    </xf>
    <xf numFmtId="2" fontId="0" fillId="0" borderId="20" xfId="0" applyNumberFormat="1" applyBorder="1" applyProtection="1">
      <protection hidden="1"/>
    </xf>
    <xf numFmtId="0" fontId="1" fillId="0" borderId="0" xfId="0" applyFont="1" applyProtection="1">
      <protection hidden="1"/>
    </xf>
    <xf numFmtId="0" fontId="0" fillId="0" borderId="20" xfId="0" applyBorder="1" applyProtection="1">
      <protection hidden="1"/>
    </xf>
    <xf numFmtId="167" fontId="0" fillId="0" borderId="20" xfId="0" applyNumberFormat="1" applyBorder="1" applyProtection="1">
      <protection hidden="1"/>
    </xf>
    <xf numFmtId="0" fontId="1" fillId="0" borderId="20" xfId="0" applyFont="1" applyBorder="1" applyProtection="1">
      <protection hidden="1"/>
    </xf>
    <xf numFmtId="167" fontId="0" fillId="0" borderId="0" xfId="0" applyNumberFormat="1" applyProtection="1">
      <protection hidden="1"/>
    </xf>
    <xf numFmtId="164" fontId="0" fillId="0" borderId="20" xfId="3" applyFont="1" applyBorder="1" applyProtection="1">
      <protection hidden="1"/>
    </xf>
    <xf numFmtId="166" fontId="0" fillId="0" borderId="20" xfId="0" applyNumberFormat="1" applyBorder="1" applyProtection="1">
      <protection hidden="1"/>
    </xf>
    <xf numFmtId="0" fontId="0" fillId="0" borderId="0" xfId="0" applyFill="1" applyProtection="1">
      <protection hidden="1"/>
    </xf>
    <xf numFmtId="164" fontId="8" fillId="0" borderId="20" xfId="3" applyFont="1" applyBorder="1" applyProtection="1">
      <protection hidden="1"/>
    </xf>
    <xf numFmtId="4" fontId="35" fillId="8" borderId="20" xfId="2" applyNumberFormat="1" applyFont="1" applyFill="1" applyBorder="1" applyAlignment="1" applyProtection="1">
      <alignment horizontal="center"/>
      <protection hidden="1"/>
    </xf>
    <xf numFmtId="0" fontId="8" fillId="0" borderId="2" xfId="0" applyFont="1" applyFill="1" applyBorder="1" applyProtection="1">
      <protection hidden="1"/>
    </xf>
    <xf numFmtId="0" fontId="0" fillId="0" borderId="2" xfId="0" applyBorder="1" applyProtection="1">
      <protection hidden="1"/>
    </xf>
    <xf numFmtId="1" fontId="0" fillId="0" borderId="7" xfId="0" applyNumberFormat="1" applyBorder="1" applyProtection="1">
      <protection hidden="1"/>
    </xf>
    <xf numFmtId="1" fontId="0" fillId="0" borderId="8" xfId="0" applyNumberFormat="1" applyBorder="1" applyProtection="1">
      <protection hidden="1"/>
    </xf>
    <xf numFmtId="0" fontId="0" fillId="0" borderId="9" xfId="0" applyBorder="1" applyProtection="1">
      <protection hidden="1"/>
    </xf>
    <xf numFmtId="1" fontId="0" fillId="0" borderId="10" xfId="0" applyNumberFormat="1" applyBorder="1" applyProtection="1">
      <protection hidden="1"/>
    </xf>
    <xf numFmtId="1" fontId="0" fillId="0" borderId="11" xfId="0" applyNumberFormat="1" applyBorder="1" applyProtection="1">
      <protection hidden="1"/>
    </xf>
    <xf numFmtId="164" fontId="0" fillId="0" borderId="0" xfId="1" applyFont="1" applyProtection="1">
      <protection hidden="1"/>
    </xf>
    <xf numFmtId="171" fontId="0" fillId="0" borderId="0" xfId="1" applyNumberFormat="1" applyFont="1" applyProtection="1">
      <protection hidden="1"/>
    </xf>
    <xf numFmtId="0" fontId="36" fillId="16" borderId="7" xfId="0" applyFont="1" applyFill="1" applyBorder="1" applyAlignment="1" applyProtection="1">
      <alignment vertical="center" wrapText="1"/>
      <protection hidden="1"/>
    </xf>
    <xf numFmtId="169" fontId="0" fillId="0" borderId="58" xfId="0" applyNumberFormat="1" applyBorder="1"/>
    <xf numFmtId="172" fontId="0" fillId="0" borderId="4" xfId="0" applyNumberFormat="1" applyBorder="1"/>
    <xf numFmtId="0" fontId="0" fillId="0" borderId="4" xfId="0" applyFill="1" applyBorder="1"/>
    <xf numFmtId="0" fontId="5" fillId="0" borderId="4" xfId="0" applyFont="1" applyFill="1" applyBorder="1"/>
    <xf numFmtId="173" fontId="0" fillId="0" borderId="0" xfId="2" applyNumberFormat="1" applyFont="1"/>
    <xf numFmtId="1" fontId="0" fillId="0" borderId="0" xfId="0" applyNumberFormat="1" applyFill="1" applyBorder="1"/>
    <xf numFmtId="1" fontId="0" fillId="4" borderId="10" xfId="0" applyNumberFormat="1" applyFill="1" applyBorder="1"/>
    <xf numFmtId="174" fontId="0" fillId="0" borderId="0" xfId="2" applyNumberFormat="1" applyFont="1" applyBorder="1" applyProtection="1">
      <protection hidden="1"/>
    </xf>
    <xf numFmtId="4" fontId="20" fillId="4" borderId="20" xfId="0" applyNumberFormat="1" applyFont="1" applyFill="1" applyBorder="1"/>
    <xf numFmtId="4" fontId="20" fillId="4" borderId="67" xfId="0" applyNumberFormat="1" applyFont="1" applyFill="1" applyBorder="1"/>
    <xf numFmtId="3" fontId="0" fillId="8" borderId="0" xfId="0" applyNumberFormat="1" applyFill="1" applyBorder="1"/>
    <xf numFmtId="0" fontId="0" fillId="0" borderId="70" xfId="0" applyBorder="1" applyProtection="1">
      <protection hidden="1"/>
    </xf>
    <xf numFmtId="0" fontId="0" fillId="0" borderId="71" xfId="0" applyBorder="1" applyProtection="1">
      <protection hidden="1"/>
    </xf>
    <xf numFmtId="9" fontId="36" fillId="16" borderId="71" xfId="0" applyNumberFormat="1" applyFont="1" applyFill="1" applyBorder="1" applyProtection="1">
      <protection locked="0"/>
    </xf>
    <xf numFmtId="9" fontId="36" fillId="16" borderId="72" xfId="0" applyNumberFormat="1" applyFont="1" applyFill="1" applyBorder="1" applyProtection="1">
      <protection locked="0"/>
    </xf>
    <xf numFmtId="3" fontId="0" fillId="0" borderId="0" xfId="0" applyNumberFormat="1" applyProtection="1">
      <protection hidden="1"/>
    </xf>
    <xf numFmtId="4" fontId="0" fillId="0" borderId="0" xfId="0" applyNumberFormat="1" applyProtection="1">
      <protection hidden="1"/>
    </xf>
    <xf numFmtId="3" fontId="0" fillId="8" borderId="5" xfId="0" applyNumberFormat="1" applyFill="1" applyBorder="1"/>
    <xf numFmtId="172" fontId="0" fillId="0" borderId="0" xfId="0" applyNumberFormat="1"/>
    <xf numFmtId="0" fontId="43" fillId="0" borderId="20" xfId="0" applyFont="1" applyFill="1" applyBorder="1" applyProtection="1">
      <protection hidden="1"/>
    </xf>
    <xf numFmtId="3" fontId="0" fillId="0" borderId="74" xfId="0" applyNumberFormat="1" applyBorder="1"/>
    <xf numFmtId="3" fontId="0" fillId="0" borderId="73" xfId="0" applyNumberFormat="1" applyBorder="1"/>
    <xf numFmtId="0" fontId="0" fillId="0" borderId="1" xfId="0" applyBorder="1"/>
    <xf numFmtId="0" fontId="0" fillId="0" borderId="2" xfId="0" applyBorder="1"/>
    <xf numFmtId="3" fontId="0" fillId="0" borderId="75" xfId="0" applyNumberFormat="1" applyBorder="1"/>
    <xf numFmtId="2" fontId="8" fillId="0" borderId="0" xfId="0" applyNumberFormat="1" applyFont="1" applyBorder="1" applyProtection="1">
      <protection hidden="1"/>
    </xf>
    <xf numFmtId="2" fontId="0" fillId="0" borderId="0" xfId="0" applyNumberFormat="1" applyBorder="1" applyProtection="1">
      <protection hidden="1"/>
    </xf>
    <xf numFmtId="2" fontId="0" fillId="0" borderId="5" xfId="0" applyNumberFormat="1" applyBorder="1" applyProtection="1">
      <protection hidden="1"/>
    </xf>
    <xf numFmtId="166" fontId="8" fillId="0" borderId="7" xfId="0" applyNumberFormat="1" applyFont="1" applyBorder="1" applyProtection="1">
      <protection hidden="1"/>
    </xf>
    <xf numFmtId="166" fontId="0" fillId="0" borderId="7" xfId="0" applyNumberFormat="1" applyBorder="1" applyProtection="1">
      <protection hidden="1"/>
    </xf>
    <xf numFmtId="166" fontId="0" fillId="0" borderId="8" xfId="0" applyNumberFormat="1" applyBorder="1" applyProtection="1">
      <protection hidden="1"/>
    </xf>
    <xf numFmtId="0" fontId="42" fillId="0" borderId="0" xfId="7" applyProtection="1">
      <protection hidden="1"/>
    </xf>
    <xf numFmtId="0" fontId="3" fillId="5" borderId="3" xfId="0" applyFont="1" applyFill="1" applyBorder="1" applyAlignment="1" applyProtection="1">
      <alignment horizontal="center"/>
      <protection hidden="1"/>
    </xf>
    <xf numFmtId="9" fontId="36" fillId="16" borderId="76" xfId="0" applyNumberFormat="1" applyFont="1" applyFill="1" applyBorder="1" applyProtection="1">
      <protection locked="0"/>
    </xf>
    <xf numFmtId="2" fontId="0" fillId="4" borderId="0" xfId="0" applyNumberFormat="1" applyFill="1" applyBorder="1"/>
    <xf numFmtId="175" fontId="0" fillId="4" borderId="0" xfId="0" applyNumberFormat="1" applyFill="1" applyBorder="1"/>
    <xf numFmtId="9" fontId="0" fillId="4" borderId="58" xfId="2" applyFont="1" applyFill="1" applyBorder="1"/>
    <xf numFmtId="9" fontId="0" fillId="4" borderId="4" xfId="2" applyFont="1" applyFill="1" applyBorder="1"/>
    <xf numFmtId="9" fontId="0" fillId="4" borderId="32" xfId="2" applyFont="1" applyFill="1" applyBorder="1"/>
    <xf numFmtId="9" fontId="0" fillId="0" borderId="58" xfId="2" applyFont="1" applyBorder="1"/>
    <xf numFmtId="9" fontId="0" fillId="0" borderId="4" xfId="2" applyFont="1" applyBorder="1"/>
    <xf numFmtId="9" fontId="0" fillId="0" borderId="32" xfId="2" applyFont="1" applyBorder="1"/>
    <xf numFmtId="3" fontId="0" fillId="3" borderId="0" xfId="0" applyNumberFormat="1" applyFill="1" applyBorder="1"/>
    <xf numFmtId="3" fontId="0" fillId="17" borderId="2" xfId="0" applyNumberFormat="1" applyFill="1" applyBorder="1"/>
    <xf numFmtId="3" fontId="0" fillId="17" borderId="3" xfId="0" applyNumberFormat="1" applyFill="1" applyBorder="1"/>
    <xf numFmtId="3" fontId="0" fillId="17" borderId="0" xfId="0" applyNumberFormat="1" applyFill="1" applyBorder="1"/>
    <xf numFmtId="3" fontId="0" fillId="17" borderId="5" xfId="0" applyNumberFormat="1" applyFill="1" applyBorder="1"/>
    <xf numFmtId="3" fontId="0" fillId="3" borderId="5" xfId="0" applyNumberFormat="1" applyFill="1" applyBorder="1"/>
    <xf numFmtId="3" fontId="0" fillId="0" borderId="74" xfId="0" applyNumberFormat="1" applyFill="1" applyBorder="1"/>
    <xf numFmtId="3" fontId="0" fillId="0" borderId="75" xfId="0" applyNumberFormat="1" applyFill="1" applyBorder="1"/>
    <xf numFmtId="3" fontId="0" fillId="0" borderId="73" xfId="0" applyNumberFormat="1" applyFill="1" applyBorder="1"/>
    <xf numFmtId="2" fontId="0" fillId="0" borderId="5" xfId="0" applyNumberFormat="1" applyFill="1" applyBorder="1" applyProtection="1">
      <protection hidden="1"/>
    </xf>
    <xf numFmtId="3" fontId="0" fillId="3" borderId="7" xfId="0" applyNumberFormat="1" applyFill="1" applyBorder="1"/>
    <xf numFmtId="3" fontId="0" fillId="3" borderId="8" xfId="0" applyNumberFormat="1" applyFill="1" applyBorder="1"/>
    <xf numFmtId="0" fontId="3" fillId="5" borderId="2" xfId="0" applyFont="1" applyFill="1" applyBorder="1" applyAlignment="1" applyProtection="1">
      <alignment horizontal="center"/>
      <protection hidden="1"/>
    </xf>
    <xf numFmtId="4" fontId="30" fillId="0" borderId="27" xfId="0" applyNumberFormat="1" applyFont="1" applyBorder="1" applyAlignment="1">
      <alignment horizontal="center" vertical="center" wrapText="1"/>
    </xf>
    <xf numFmtId="4" fontId="30" fillId="0" borderId="60" xfId="0" applyNumberFormat="1" applyFont="1" applyBorder="1" applyAlignment="1">
      <alignment horizontal="center" vertical="center" wrapText="1"/>
    </xf>
    <xf numFmtId="4" fontId="30" fillId="0" borderId="24" xfId="0" applyNumberFormat="1" applyFont="1" applyBorder="1" applyAlignment="1">
      <alignment horizontal="center" vertical="center" wrapText="1"/>
    </xf>
    <xf numFmtId="4" fontId="30" fillId="0" borderId="42" xfId="0" applyNumberFormat="1" applyFont="1" applyBorder="1" applyAlignment="1">
      <alignment horizontal="center" vertical="center" wrapText="1"/>
    </xf>
    <xf numFmtId="4" fontId="30" fillId="0" borderId="55" xfId="0" applyNumberFormat="1" applyFont="1" applyBorder="1" applyAlignment="1">
      <alignment horizontal="center" vertical="center" wrapText="1"/>
    </xf>
    <xf numFmtId="4" fontId="30" fillId="0" borderId="61" xfId="0" applyNumberFormat="1" applyFont="1" applyBorder="1" applyAlignment="1">
      <alignment horizontal="center" vertical="center" wrapText="1"/>
    </xf>
    <xf numFmtId="0" fontId="7" fillId="6" borderId="0" xfId="0" applyFont="1" applyFill="1" applyAlignment="1" applyProtection="1">
      <alignment horizontal="left" vertical="top" wrapText="1"/>
      <protection hidden="1"/>
    </xf>
    <xf numFmtId="0" fontId="8" fillId="0" borderId="2" xfId="0" applyFont="1" applyFill="1" applyBorder="1" applyAlignment="1" applyProtection="1">
      <alignment horizontal="left" wrapText="1"/>
      <protection hidden="1"/>
    </xf>
    <xf numFmtId="0" fontId="8" fillId="0" borderId="0" xfId="0" applyFont="1" applyFill="1" applyBorder="1" applyAlignment="1" applyProtection="1">
      <alignment horizontal="left" wrapText="1"/>
      <protection hidden="1"/>
    </xf>
  </cellXfs>
  <cellStyles count="8">
    <cellStyle name="Comma 2" xfId="3" xr:uid="{00000000-0005-0000-0000-000001000000}"/>
    <cellStyle name="Komma" xfId="1" builtinId="3"/>
    <cellStyle name="Komma 2 2" xfId="5" xr:uid="{00000000-0005-0000-0000-000003000000}"/>
    <cellStyle name="Link" xfId="7" builtinId="8"/>
    <cellStyle name="Normal" xfId="0" builtinId="0"/>
    <cellStyle name="Normal 2" xfId="4" xr:uid="{00000000-0005-0000-0000-000005000000}"/>
    <cellStyle name="Procent" xfId="2" builtinId="5"/>
    <cellStyle name="Procent 2" xfId="6" xr:uid="{00000000-0005-0000-0000-000007000000}"/>
  </cellStyles>
  <dxfs count="5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A515D"/>
      <color rgb="FF008B8B"/>
      <color rgb="FFFFD4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Development in tariffs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stacked"/>
        <c:varyColors val="0"/>
        <c:ser>
          <c:idx val="0"/>
          <c:order val="0"/>
          <c:tx>
            <c:strRef>
              <c:f>'3. Charts'!$B$6</c:f>
              <c:strCache>
                <c:ptCount val="1"/>
                <c:pt idx="0">
                  <c:v>Entry</c:v>
                </c:pt>
              </c:strCache>
            </c:strRef>
          </c:tx>
          <c:spPr>
            <a:solidFill>
              <a:srgbClr val="0A515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da-D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Charts'!$D$5:$K$5</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Charts'!$D$6:$K$6</c:f>
              <c:numCache>
                <c:formatCode>0.00</c:formatCode>
                <c:ptCount val="8"/>
                <c:pt idx="0">
                  <c:v>14.62</c:v>
                </c:pt>
                <c:pt idx="1">
                  <c:v>23.540171117960362</c:v>
                </c:pt>
                <c:pt idx="2">
                  <c:v>27.16201185441076</c:v>
                </c:pt>
                <c:pt idx="3">
                  <c:v>37.128468255297641</c:v>
                </c:pt>
                <c:pt idx="4">
                  <c:v>21.508190090208796</c:v>
                </c:pt>
                <c:pt idx="5">
                  <c:v>21.432105911209167</c:v>
                </c:pt>
                <c:pt idx="6">
                  <c:v>21.440923392210063</c:v>
                </c:pt>
                <c:pt idx="7">
                  <c:v>21.936785754373382</c:v>
                </c:pt>
              </c:numCache>
            </c:numRef>
          </c:val>
          <c:extLst>
            <c:ext xmlns:c16="http://schemas.microsoft.com/office/drawing/2014/chart" uri="{C3380CC4-5D6E-409C-BE32-E72D297353CC}">
              <c16:uniqueId val="{00000000-AB1F-4358-BC27-3BA31B8AB813}"/>
            </c:ext>
          </c:extLst>
        </c:ser>
        <c:ser>
          <c:idx val="1"/>
          <c:order val="1"/>
          <c:tx>
            <c:strRef>
              <c:f>'3. Charts'!$B$7</c:f>
              <c:strCache>
                <c:ptCount val="1"/>
                <c:pt idx="0">
                  <c:v>Exit</c:v>
                </c:pt>
              </c:strCache>
            </c:strRef>
          </c:tx>
          <c:spPr>
            <a:solidFill>
              <a:srgbClr val="008B8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da-DK"/>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Charts'!$D$5:$K$5</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Charts'!$D$7:$K$7</c:f>
              <c:numCache>
                <c:formatCode>0.00</c:formatCode>
                <c:ptCount val="8"/>
                <c:pt idx="0">
                  <c:v>14.62</c:v>
                </c:pt>
                <c:pt idx="1">
                  <c:v>23.540171117960362</c:v>
                </c:pt>
                <c:pt idx="2">
                  <c:v>27.16201185441076</c:v>
                </c:pt>
                <c:pt idx="3">
                  <c:v>37.128468255297641</c:v>
                </c:pt>
                <c:pt idx="4">
                  <c:v>21.508190090208796</c:v>
                </c:pt>
                <c:pt idx="5">
                  <c:v>21.432105911209167</c:v>
                </c:pt>
                <c:pt idx="6">
                  <c:v>21.440923392210063</c:v>
                </c:pt>
                <c:pt idx="7">
                  <c:v>21.936785754373382</c:v>
                </c:pt>
              </c:numCache>
            </c:numRef>
          </c:val>
          <c:extLst>
            <c:ext xmlns:c16="http://schemas.microsoft.com/office/drawing/2014/chart" uri="{C3380CC4-5D6E-409C-BE32-E72D297353CC}">
              <c16:uniqueId val="{00000001-AB1F-4358-BC27-3BA31B8AB813}"/>
            </c:ext>
          </c:extLst>
        </c:ser>
        <c:dLbls>
          <c:showLegendKey val="0"/>
          <c:showVal val="1"/>
          <c:showCatName val="0"/>
          <c:showSerName val="0"/>
          <c:showPercent val="0"/>
          <c:showBubbleSize val="0"/>
        </c:dLbls>
        <c:gapWidth val="150"/>
        <c:overlap val="100"/>
        <c:axId val="1516260088"/>
        <c:axId val="1516260480"/>
      </c:barChart>
      <c:lineChart>
        <c:grouping val="standard"/>
        <c:varyColors val="0"/>
        <c:ser>
          <c:idx val="2"/>
          <c:order val="2"/>
          <c:tx>
            <c:strRef>
              <c:f>'3. Charts'!$B$8</c:f>
              <c:strCache>
                <c:ptCount val="1"/>
                <c:pt idx="0">
                  <c:v>Volume</c:v>
                </c:pt>
              </c:strCache>
            </c:strRef>
          </c:tx>
          <c:spPr>
            <a:ln w="28575" cap="rnd">
              <a:solidFill>
                <a:srgbClr val="FFD424"/>
              </a:solidFill>
              <a:round/>
            </a:ln>
            <a:effectLst/>
          </c:spPr>
          <c:marker>
            <c:symbol val="none"/>
          </c:marker>
          <c:dLbls>
            <c:dLbl>
              <c:idx val="0"/>
              <c:layout>
                <c:manualLayout>
                  <c:x val="-3.1215991533330583E-2"/>
                  <c:y val="2.3889508202965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1F-4358-BC27-3BA31B8AB813}"/>
                </c:ext>
              </c:extLst>
            </c:dLbl>
            <c:dLbl>
              <c:idx val="1"/>
              <c:layout>
                <c:manualLayout>
                  <c:x val="-3.1215991533330593E-2"/>
                  <c:y val="2.3889508202965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1F-4358-BC27-3BA31B8AB813}"/>
                </c:ext>
              </c:extLst>
            </c:dLbl>
            <c:dLbl>
              <c:idx val="2"/>
              <c:layout>
                <c:manualLayout>
                  <c:x val="-3.2527036956822054E-2"/>
                  <c:y val="2.6875696728336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1F-4358-BC27-3BA31B8AB813}"/>
                </c:ext>
              </c:extLst>
            </c:dLbl>
            <c:dLbl>
              <c:idx val="3"/>
              <c:layout>
                <c:manualLayout>
                  <c:x val="-3.1215991533330593E-2"/>
                  <c:y val="4.479282788056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1F-4358-BC27-3BA31B8AB813}"/>
                </c:ext>
              </c:extLst>
            </c:dLbl>
            <c:dLbl>
              <c:idx val="4"/>
              <c:layout>
                <c:manualLayout>
                  <c:x val="-3.1215991533330593E-2"/>
                  <c:y val="1.79171311522243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1F-4358-BC27-3BA31B8AB813}"/>
                </c:ext>
              </c:extLst>
            </c:dLbl>
            <c:dLbl>
              <c:idx val="5"/>
              <c:layout>
                <c:manualLayout>
                  <c:x val="-3.1215967987960998E-2"/>
                  <c:y val="1.79171311522244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B1F-4358-BC27-3BA31B8AB813}"/>
                </c:ext>
              </c:extLst>
            </c:dLbl>
            <c:dLbl>
              <c:idx val="6"/>
              <c:layout>
                <c:manualLayout>
                  <c:x val="-3.1215991533330593E-2"/>
                  <c:y val="-2.3889508202965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B1F-4358-BC27-3BA31B8AB813}"/>
                </c:ext>
              </c:extLst>
            </c:dLbl>
            <c:dLbl>
              <c:idx val="7"/>
              <c:layout>
                <c:manualLayout>
                  <c:x val="-2.7616499934121394E-2"/>
                  <c:y val="-2.09033196775951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2A-41E5-941F-5558FCECA00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FFD424"/>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Charts'!$D$5:$K$5</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Charts'!$D$8:$K$8</c:f>
              <c:numCache>
                <c:formatCode>0.0000</c:formatCode>
                <c:ptCount val="8"/>
                <c:pt idx="0">
                  <c:v>4.5999999999999999E-3</c:v>
                </c:pt>
                <c:pt idx="1">
                  <c:v>2.4084057490676132E-3</c:v>
                </c:pt>
                <c:pt idx="2">
                  <c:v>2.9088563772317467E-3</c:v>
                </c:pt>
                <c:pt idx="3">
                  <c:v>3.9831835767893354E-3</c:v>
                </c:pt>
                <c:pt idx="4">
                  <c:v>2.4225209216734581E-3</c:v>
                </c:pt>
                <c:pt idx="5">
                  <c:v>2.4077576764667827E-3</c:v>
                </c:pt>
                <c:pt idx="6">
                  <c:v>2.307385795910338E-3</c:v>
                </c:pt>
                <c:pt idx="7">
                  <c:v>2.3012443904443232E-3</c:v>
                </c:pt>
              </c:numCache>
            </c:numRef>
          </c:val>
          <c:smooth val="0"/>
          <c:extLst>
            <c:ext xmlns:c16="http://schemas.microsoft.com/office/drawing/2014/chart" uri="{C3380CC4-5D6E-409C-BE32-E72D297353CC}">
              <c16:uniqueId val="{00000009-AB1F-4358-BC27-3BA31B8AB813}"/>
            </c:ext>
          </c:extLst>
        </c:ser>
        <c:dLbls>
          <c:showLegendKey val="0"/>
          <c:showVal val="1"/>
          <c:showCatName val="0"/>
          <c:showSerName val="0"/>
          <c:showPercent val="0"/>
          <c:showBubbleSize val="0"/>
        </c:dLbls>
        <c:marker val="1"/>
        <c:smooth val="0"/>
        <c:axId val="1373374720"/>
        <c:axId val="1516260872"/>
      </c:lineChart>
      <c:catAx>
        <c:axId val="15162600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Gas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516260480"/>
        <c:crosses val="autoZero"/>
        <c:auto val="1"/>
        <c:lblAlgn val="ctr"/>
        <c:lblOffset val="100"/>
        <c:noMultiLvlLbl val="0"/>
      </c:catAx>
      <c:valAx>
        <c:axId val="1516260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DKK/kWh/h/y</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516260088"/>
        <c:crosses val="autoZero"/>
        <c:crossBetween val="between"/>
      </c:valAx>
      <c:valAx>
        <c:axId val="15162608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DKK/kWh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00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373374720"/>
        <c:crosses val="max"/>
        <c:crossBetween val="between"/>
      </c:valAx>
      <c:catAx>
        <c:axId val="1373374720"/>
        <c:scaling>
          <c:orientation val="minMax"/>
        </c:scaling>
        <c:delete val="1"/>
        <c:axPos val="b"/>
        <c:numFmt formatCode="General" sourceLinked="1"/>
        <c:majorTickMark val="out"/>
        <c:minorTickMark val="none"/>
        <c:tickLblPos val="nextTo"/>
        <c:crossAx val="15162608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Development in average cost of transportation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2"/>
          <c:order val="0"/>
          <c:tx>
            <c:strRef>
              <c:f>'3. Charts'!$B$37</c:f>
              <c:strCache>
                <c:ptCount val="1"/>
                <c:pt idx="0">
                  <c:v>Average cost of transportation</c:v>
                </c:pt>
              </c:strCache>
            </c:strRef>
          </c:tx>
          <c:spPr>
            <a:ln w="28575" cap="rnd">
              <a:solidFill>
                <a:srgbClr val="008B8B"/>
              </a:solidFill>
              <a:round/>
            </a:ln>
            <a:effectLst/>
          </c:spPr>
          <c:marker>
            <c:symbol val="none"/>
          </c:marker>
          <c:dLbls>
            <c:dLbl>
              <c:idx val="2"/>
              <c:layout>
                <c:manualLayout>
                  <c:x val="-2.5453789535248336E-2"/>
                  <c:y val="3.96716321260274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D6-4595-A96D-DCE4D6C45200}"/>
                </c:ext>
              </c:extLst>
            </c:dLbl>
            <c:dLbl>
              <c:idx val="3"/>
              <c:layout>
                <c:manualLayout>
                  <c:x val="-2.9604581543023124E-2"/>
                  <c:y val="-3.79692695336114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70-4E0D-B439-2E3021994D8C}"/>
                </c:ext>
              </c:extLst>
            </c:dLbl>
            <c:dLbl>
              <c:idx val="4"/>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0-4E0D-B439-2E3021994D8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008B8B"/>
                    </a:solidFill>
                    <a:latin typeface="+mn-lt"/>
                    <a:ea typeface="+mn-ea"/>
                    <a:cs typeface="+mn-cs"/>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Charts'!$D$36:$K$36</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Charts'!$D$37:$K$37</c:f>
              <c:numCache>
                <c:formatCode>0.00</c:formatCode>
                <c:ptCount val="8"/>
                <c:pt idx="0">
                  <c:v>8.93</c:v>
                </c:pt>
                <c:pt idx="1">
                  <c:v>10.594642681533454</c:v>
                </c:pt>
                <c:pt idx="2">
                  <c:v>9.6961879241058195</c:v>
                </c:pt>
                <c:pt idx="3">
                  <c:v>13.277278589297781</c:v>
                </c:pt>
                <c:pt idx="4">
                  <c:v>8.0750697389115267</c:v>
                </c:pt>
                <c:pt idx="5">
                  <c:v>8.0258589215559404</c:v>
                </c:pt>
                <c:pt idx="6">
                  <c:v>7.6912859863677925</c:v>
                </c:pt>
                <c:pt idx="7">
                  <c:v>7.6708146348144091</c:v>
                </c:pt>
              </c:numCache>
            </c:numRef>
          </c:val>
          <c:smooth val="0"/>
          <c:extLst>
            <c:ext xmlns:c16="http://schemas.microsoft.com/office/drawing/2014/chart" uri="{C3380CC4-5D6E-409C-BE32-E72D297353CC}">
              <c16:uniqueId val="{00000002-1C70-4E0D-B439-2E3021994D8C}"/>
            </c:ext>
          </c:extLst>
        </c:ser>
        <c:ser>
          <c:idx val="0"/>
          <c:order val="1"/>
          <c:tx>
            <c:strRef>
              <c:f>'3. Charts'!$B$38</c:f>
              <c:strCache>
                <c:ptCount val="1"/>
                <c:pt idx="0">
                  <c:v>Average cost of transportation from OS 2017 phase II</c:v>
                </c:pt>
              </c:strCache>
            </c:strRef>
          </c:tx>
          <c:spPr>
            <a:ln w="28575" cap="rnd">
              <a:solidFill>
                <a:srgbClr val="FFD424"/>
              </a:solidFill>
              <a:round/>
            </a:ln>
            <a:effectLst/>
          </c:spPr>
          <c:marker>
            <c:symbol val="none"/>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70-4E0D-B439-2E3021994D8C}"/>
                </c:ext>
              </c:extLst>
            </c:dLbl>
            <c:dLbl>
              <c:idx val="1"/>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70-4E0D-B439-2E3021994D8C}"/>
                </c:ext>
              </c:extLst>
            </c:dLbl>
            <c:dLbl>
              <c:idx val="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70-4E0D-B439-2E3021994D8C}"/>
                </c:ext>
              </c:extLst>
            </c:dLbl>
            <c:dLbl>
              <c:idx val="3"/>
              <c:layout>
                <c:manualLayout>
                  <c:x val="-3.1486723591396829E-2"/>
                  <c:y val="2.9010939090454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70-4E0D-B439-2E3021994D8C}"/>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70-4E0D-B439-2E3021994D8C}"/>
                </c:ext>
              </c:extLst>
            </c:dLbl>
            <c:dLbl>
              <c:idx val="5"/>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70-4E0D-B439-2E3021994D8C}"/>
                </c:ext>
              </c:extLst>
            </c:dLbl>
            <c:dLbl>
              <c:idx val="6"/>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70-4E0D-B439-2E3021994D8C}"/>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rgbClr val="FFD424"/>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Charts'!$D$36:$K$36</c:f>
              <c:strCache>
                <c:ptCount val="8"/>
                <c:pt idx="0">
                  <c:v>2018/2019*</c:v>
                </c:pt>
                <c:pt idx="1">
                  <c:v>2019/2020**</c:v>
                </c:pt>
                <c:pt idx="2">
                  <c:v>2020/2021**</c:v>
                </c:pt>
                <c:pt idx="3">
                  <c:v>2021/2022</c:v>
                </c:pt>
                <c:pt idx="4">
                  <c:v>2022/2023</c:v>
                </c:pt>
                <c:pt idx="5">
                  <c:v>2023/2024</c:v>
                </c:pt>
                <c:pt idx="6">
                  <c:v>2024/2025</c:v>
                </c:pt>
                <c:pt idx="7">
                  <c:v>2025/2026</c:v>
                </c:pt>
              </c:strCache>
            </c:strRef>
          </c:cat>
          <c:val>
            <c:numRef>
              <c:f>'3. Charts'!$D$38:$K$38</c:f>
              <c:numCache>
                <c:formatCode>0.00</c:formatCode>
                <c:ptCount val="8"/>
                <c:pt idx="0">
                  <c:v>11.55</c:v>
                </c:pt>
                <c:pt idx="1">
                  <c:v>12.88</c:v>
                </c:pt>
                <c:pt idx="2">
                  <c:v>13.25</c:v>
                </c:pt>
                <c:pt idx="3">
                  <c:v>12.24</c:v>
                </c:pt>
                <c:pt idx="4">
                  <c:v>8.27</c:v>
                </c:pt>
                <c:pt idx="5">
                  <c:v>7.09</c:v>
                </c:pt>
                <c:pt idx="6">
                  <c:v>7.16</c:v>
                </c:pt>
                <c:pt idx="7">
                  <c:v>7.29</c:v>
                </c:pt>
              </c:numCache>
            </c:numRef>
          </c:val>
          <c:smooth val="0"/>
          <c:extLst>
            <c:ext xmlns:c16="http://schemas.microsoft.com/office/drawing/2014/chart" uri="{C3380CC4-5D6E-409C-BE32-E72D297353CC}">
              <c16:uniqueId val="{0000000A-1C70-4E0D-B439-2E3021994D8C}"/>
            </c:ext>
          </c:extLst>
        </c:ser>
        <c:dLbls>
          <c:showLegendKey val="0"/>
          <c:showVal val="1"/>
          <c:showCatName val="0"/>
          <c:showSerName val="0"/>
          <c:showPercent val="0"/>
          <c:showBubbleSize val="0"/>
        </c:dLbls>
        <c:smooth val="0"/>
        <c:axId val="1373374328"/>
        <c:axId val="1373376680"/>
      </c:lineChart>
      <c:catAx>
        <c:axId val="13733743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Gas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373376680"/>
        <c:crosses val="autoZero"/>
        <c:auto val="1"/>
        <c:lblAlgn val="ctr"/>
        <c:lblOffset val="100"/>
        <c:noMultiLvlLbl val="0"/>
      </c:catAx>
      <c:valAx>
        <c:axId val="1373376680"/>
        <c:scaling>
          <c:orientation val="minMax"/>
          <c:min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DKK/MWh</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a-DK"/>
          </a:p>
        </c:txPr>
        <c:crossAx val="1373374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95249</xdr:colOff>
      <xdr:row>10</xdr:row>
      <xdr:rowOff>90486</xdr:rowOff>
    </xdr:from>
    <xdr:to>
      <xdr:col>11</xdr:col>
      <xdr:colOff>200025</xdr:colOff>
      <xdr:row>32</xdr:row>
      <xdr:rowOff>152399</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0</xdr:rowOff>
    </xdr:from>
    <xdr:to>
      <xdr:col>11</xdr:col>
      <xdr:colOff>200026</xdr:colOff>
      <xdr:row>63</xdr:row>
      <xdr:rowOff>61913</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9524</xdr:colOff>
      <xdr:row>0</xdr:row>
      <xdr:rowOff>180974</xdr:rowOff>
    </xdr:from>
    <xdr:to>
      <xdr:col>11</xdr:col>
      <xdr:colOff>559484</xdr:colOff>
      <xdr:row>12</xdr:row>
      <xdr:rowOff>66674</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4" y="180974"/>
          <a:ext cx="6563410" cy="2108200"/>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7</xdr:col>
      <xdr:colOff>323851</xdr:colOff>
      <xdr:row>0</xdr:row>
      <xdr:rowOff>123825</xdr:rowOff>
    </xdr:from>
    <xdr:to>
      <xdr:col>15</xdr:col>
      <xdr:colOff>438151</xdr:colOff>
      <xdr:row>11</xdr:row>
      <xdr:rowOff>98551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27701" y="123825"/>
          <a:ext cx="6343650" cy="2013076"/>
        </a:xfrm>
        <a:prstGeom prst="rect">
          <a:avLst/>
        </a:prstGeom>
      </xdr:spPr>
    </xdr:pic>
    <xdr:clientData/>
  </xdr:twoCellAnchor>
  <xdr:oneCellAnchor>
    <xdr:from>
      <xdr:col>0</xdr:col>
      <xdr:colOff>85725</xdr:colOff>
      <xdr:row>5</xdr:row>
      <xdr:rowOff>19050</xdr:rowOff>
    </xdr:from>
    <xdr:ext cx="2899320" cy="1125693"/>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85725" y="952500"/>
          <a:ext cx="289932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Commodity based tariff methodology</a:t>
          </a:r>
        </a:p>
        <a:p>
          <a:pPr marL="171450" lvl="0" indent="-171450">
            <a:buFont typeface="Arial" panose="020B0604020202020204" pitchFamily="34" charset="0"/>
            <a:buChar char="•"/>
          </a:pPr>
          <a:r>
            <a:rPr lang="en-US" sz="1100" baseline="0"/>
            <a:t>Commodity based cost allocation assesment</a:t>
          </a:r>
        </a:p>
        <a:p>
          <a:pPr marL="171450" lvl="0" indent="-171450">
            <a:buFont typeface="Arial" panose="020B0604020202020204" pitchFamily="34" charset="0"/>
            <a:buChar char="•"/>
          </a:pPr>
          <a:r>
            <a:rPr lang="en-US" sz="1100" baseline="0"/>
            <a:t>Commodity and distance cost driver</a:t>
          </a:r>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5</xdr:col>
      <xdr:colOff>9525</xdr:colOff>
      <xdr:row>0</xdr:row>
      <xdr:rowOff>180974</xdr:rowOff>
    </xdr:from>
    <xdr:to>
      <xdr:col>11</xdr:col>
      <xdr:colOff>209551</xdr:colOff>
      <xdr:row>12</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200776" cy="2041526"/>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Uniform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8</xdr:col>
      <xdr:colOff>142875</xdr:colOff>
      <xdr:row>0</xdr:row>
      <xdr:rowOff>114299</xdr:rowOff>
    </xdr:from>
    <xdr:to>
      <xdr:col>14</xdr:col>
      <xdr:colOff>466725</xdr:colOff>
      <xdr:row>11</xdr:row>
      <xdr:rowOff>66675</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3225" y="114299"/>
          <a:ext cx="5003800" cy="1990726"/>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solidFill>
                <a:schemeClr val="tx1"/>
              </a:solidFill>
              <a:effectLst/>
              <a:latin typeface="+mn-lt"/>
              <a:ea typeface="+mn-ea"/>
              <a:cs typeface="+mn-cs"/>
            </a:rPr>
            <a:t>- Ellund exit capacity ≈0 in Tyra scenario</a:t>
          </a:r>
          <a:endParaRPr lang="en-US" sz="1100" baseline="0"/>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306547</xdr:colOff>
      <xdr:row>11</xdr:row>
      <xdr:rowOff>161926</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1199" y="260351"/>
          <a:ext cx="532304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16</xdr:col>
      <xdr:colOff>306547</xdr:colOff>
      <xdr:row>11</xdr:row>
      <xdr:rowOff>171451</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992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401797</xdr:colOff>
      <xdr:row>11</xdr:row>
      <xdr:rowOff>171451</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738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14</xdr:col>
      <xdr:colOff>634631</xdr:colOff>
      <xdr:row>11</xdr:row>
      <xdr:rowOff>161926</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3199" y="260351"/>
          <a:ext cx="5327282"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306547</xdr:colOff>
      <xdr:row>11</xdr:row>
      <xdr:rowOff>161926</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1199" y="260351"/>
          <a:ext cx="532304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16</xdr:col>
      <xdr:colOff>306547</xdr:colOff>
      <xdr:row>11</xdr:row>
      <xdr:rowOff>171451</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992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370047</xdr:colOff>
      <xdr:row>11</xdr:row>
      <xdr:rowOff>161926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1499" y="260351"/>
          <a:ext cx="531669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401797</xdr:colOff>
      <xdr:row>11</xdr:row>
      <xdr:rowOff>171451</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738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14</xdr:col>
      <xdr:colOff>634631</xdr:colOff>
      <xdr:row>11</xdr:row>
      <xdr:rowOff>161926</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3199" y="260351"/>
          <a:ext cx="5327282"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306547</xdr:colOff>
      <xdr:row>11</xdr:row>
      <xdr:rowOff>161926</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61199" y="260351"/>
          <a:ext cx="5323048"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16</xdr:col>
      <xdr:colOff>306547</xdr:colOff>
      <xdr:row>11</xdr:row>
      <xdr:rowOff>171451</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992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15</xdr:col>
      <xdr:colOff>401797</xdr:colOff>
      <xdr:row>11</xdr:row>
      <xdr:rowOff>171451</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7999" y="260351"/>
          <a:ext cx="5373848" cy="1949450"/>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8</xdr:col>
      <xdr:colOff>171449</xdr:colOff>
      <xdr:row>1</xdr:row>
      <xdr:rowOff>76201</xdr:rowOff>
    </xdr:from>
    <xdr:to>
      <xdr:col>14</xdr:col>
      <xdr:colOff>634631</xdr:colOff>
      <xdr:row>11</xdr:row>
      <xdr:rowOff>161926</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3199" y="260351"/>
          <a:ext cx="5327282" cy="1939925"/>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br>
            <a:rPr lang="en-US" sz="1100" baseline="0"/>
          </a:b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238125</xdr:colOff>
      <xdr:row>0</xdr:row>
      <xdr:rowOff>0</xdr:rowOff>
    </xdr:from>
    <xdr:to>
      <xdr:col>17</xdr:col>
      <xdr:colOff>28575</xdr:colOff>
      <xdr:row>10</xdr:row>
      <xdr:rowOff>180976</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78475" y="0"/>
          <a:ext cx="5657850" cy="2035176"/>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p>
        <a:p>
          <a:pPr marL="171450" lvl="0" indent="-171450">
            <a:buFont typeface="Arial" panose="020B0604020202020204" pitchFamily="34" charset="0"/>
            <a:buChar char="•"/>
          </a:pPr>
          <a:r>
            <a:rPr lang="en-US" sz="1100" baseline="0"/>
            <a:t>Uniform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xdr:col>
      <xdr:colOff>9525</xdr:colOff>
      <xdr:row>0</xdr:row>
      <xdr:rowOff>180974</xdr:rowOff>
    </xdr:from>
    <xdr:to>
      <xdr:col>10</xdr:col>
      <xdr:colOff>800101</xdr:colOff>
      <xdr:row>12</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181726" cy="2041526"/>
        </a:xfrm>
        <a:prstGeom prst="rect">
          <a:avLst/>
        </a:prstGeom>
      </xdr:spPr>
    </xdr:pic>
    <xdr:clientData/>
  </xdr:twoCellAnchor>
  <xdr:twoCellAnchor editAs="oneCell">
    <xdr:from>
      <xdr:col>5</xdr:col>
      <xdr:colOff>9525</xdr:colOff>
      <xdr:row>0</xdr:row>
      <xdr:rowOff>180974</xdr:rowOff>
    </xdr:from>
    <xdr:to>
      <xdr:col>10</xdr:col>
      <xdr:colOff>800101</xdr:colOff>
      <xdr:row>12</xdr:row>
      <xdr:rowOff>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181726" cy="2041526"/>
        </a:xfrm>
        <a:prstGeom prst="rect">
          <a:avLst/>
        </a:prstGeom>
      </xdr:spPr>
    </xdr:pic>
    <xdr:clientData/>
  </xdr:twoCellAnchor>
  <xdr:oneCellAnchor>
    <xdr:from>
      <xdr:col>0</xdr:col>
      <xdr:colOff>85725</xdr:colOff>
      <xdr:row>5</xdr:row>
      <xdr:rowOff>19050</xdr:rowOff>
    </xdr:from>
    <xdr:ext cx="2720040" cy="953466"/>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p>
        <a:p>
          <a:pPr marL="171450" lvl="0" indent="-171450">
            <a:buFont typeface="Arial" panose="020B0604020202020204" pitchFamily="34" charset="0"/>
            <a:buChar char="•"/>
          </a:pPr>
          <a:r>
            <a:rPr lang="en-US" sz="1100" baseline="0"/>
            <a:t>2017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7</xdr:col>
      <xdr:colOff>400051</xdr:colOff>
      <xdr:row>0</xdr:row>
      <xdr:rowOff>152400</xdr:rowOff>
    </xdr:from>
    <xdr:to>
      <xdr:col>15</xdr:col>
      <xdr:colOff>514351</xdr:colOff>
      <xdr:row>11</xdr:row>
      <xdr:rowOff>127126</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7351" y="152400"/>
          <a:ext cx="6343650" cy="2013076"/>
        </a:xfrm>
        <a:prstGeom prst="rect">
          <a:avLst/>
        </a:prstGeom>
      </xdr:spPr>
    </xdr:pic>
    <xdr:clientData/>
  </xdr:twoCellAnchor>
  <xdr:oneCellAnchor>
    <xdr:from>
      <xdr:col>0</xdr:col>
      <xdr:colOff>85725</xdr:colOff>
      <xdr:row>5</xdr:row>
      <xdr:rowOff>19050</xdr:rowOff>
    </xdr:from>
    <xdr:ext cx="2940292" cy="953466"/>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85725" y="952500"/>
          <a:ext cx="2940292"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Current scenario 2017</a:t>
          </a:r>
        </a:p>
        <a:p>
          <a:pPr marL="171450" lvl="0" indent="-171450">
            <a:buFont typeface="Arial" panose="020B0604020202020204" pitchFamily="34" charset="0"/>
            <a:buChar char="•"/>
          </a:pPr>
          <a:r>
            <a:rPr lang="en-US" sz="1100" baseline="0"/>
            <a:t>Commodity based tariff methodology</a:t>
          </a:r>
        </a:p>
        <a:p>
          <a:pPr marL="171450" lvl="0" indent="-171450">
            <a:buFont typeface="Arial" panose="020B0604020202020204" pitchFamily="34" charset="0"/>
            <a:buChar char="•"/>
          </a:pPr>
          <a:r>
            <a:rPr lang="en-US" sz="1100" baseline="0"/>
            <a:t>Commodity based cost allocation assesment</a:t>
          </a:r>
        </a:p>
        <a:p>
          <a:pPr marL="171450" lvl="0" indent="-171450">
            <a:buFont typeface="Arial" panose="020B0604020202020204" pitchFamily="34" charset="0"/>
            <a:buChar char="•"/>
          </a:pPr>
          <a:r>
            <a:rPr lang="en-US" sz="1100" baseline="0"/>
            <a:t>Commodity and distance cost driver</a:t>
          </a:r>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9524</xdr:colOff>
      <xdr:row>0</xdr:row>
      <xdr:rowOff>180974</xdr:rowOff>
    </xdr:from>
    <xdr:to>
      <xdr:col>11</xdr:col>
      <xdr:colOff>559484</xdr:colOff>
      <xdr:row>12</xdr:row>
      <xdr:rowOff>66674</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4" y="180974"/>
          <a:ext cx="6563410" cy="2108200"/>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Capacity based tariff methodology</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7</xdr:col>
      <xdr:colOff>323851</xdr:colOff>
      <xdr:row>0</xdr:row>
      <xdr:rowOff>123825</xdr:rowOff>
    </xdr:from>
    <xdr:to>
      <xdr:col>15</xdr:col>
      <xdr:colOff>438151</xdr:colOff>
      <xdr:row>11</xdr:row>
      <xdr:rowOff>98551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27701" y="123825"/>
          <a:ext cx="6343650" cy="2013076"/>
        </a:xfrm>
        <a:prstGeom prst="rect">
          <a:avLst/>
        </a:prstGeom>
      </xdr:spPr>
    </xdr:pic>
    <xdr:clientData/>
  </xdr:twoCellAnchor>
  <xdr:oneCellAnchor>
    <xdr:from>
      <xdr:col>0</xdr:col>
      <xdr:colOff>85725</xdr:colOff>
      <xdr:row>5</xdr:row>
      <xdr:rowOff>19050</xdr:rowOff>
    </xdr:from>
    <xdr:ext cx="2899320" cy="1125693"/>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5725" y="952500"/>
          <a:ext cx="289932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Commodity based tariff methodology</a:t>
          </a:r>
        </a:p>
        <a:p>
          <a:pPr marL="171450" lvl="0" indent="-171450">
            <a:buFont typeface="Arial" panose="020B0604020202020204" pitchFamily="34" charset="0"/>
            <a:buChar char="•"/>
          </a:pPr>
          <a:r>
            <a:rPr lang="en-US" sz="1100" baseline="0"/>
            <a:t>Commodity based cost allocation assesment</a:t>
          </a:r>
        </a:p>
        <a:p>
          <a:pPr marL="171450" lvl="0" indent="-171450">
            <a:buFont typeface="Arial" panose="020B0604020202020204" pitchFamily="34" charset="0"/>
            <a:buChar char="•"/>
          </a:pPr>
          <a:r>
            <a:rPr lang="en-US" sz="1100" baseline="0"/>
            <a:t>Commodity and distance cost driver</a:t>
          </a: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5</xdr:col>
      <xdr:colOff>9525</xdr:colOff>
      <xdr:row>0</xdr:row>
      <xdr:rowOff>180974</xdr:rowOff>
    </xdr:from>
    <xdr:to>
      <xdr:col>11</xdr:col>
      <xdr:colOff>209551</xdr:colOff>
      <xdr:row>12</xdr:row>
      <xdr:rowOff>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5125" y="180974"/>
          <a:ext cx="6200776" cy="2041526"/>
        </a:xfrm>
        <a:prstGeom prst="rect">
          <a:avLst/>
        </a:prstGeom>
      </xdr:spPr>
    </xdr:pic>
    <xdr:clientData/>
  </xdr:twoCellAnchor>
  <xdr:oneCellAnchor>
    <xdr:from>
      <xdr:col>0</xdr:col>
      <xdr:colOff>85725</xdr:colOff>
      <xdr:row>5</xdr:row>
      <xdr:rowOff>19050</xdr:rowOff>
    </xdr:from>
    <xdr:ext cx="2720040" cy="1125693"/>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85725" y="952500"/>
          <a:ext cx="2720040" cy="1125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t>- Ellund exit capacity ≈0 in Tyra scenario</a:t>
          </a:r>
        </a:p>
        <a:p>
          <a:pPr marL="171450" lvl="0" indent="-171450">
            <a:buFont typeface="Arial" panose="020B0604020202020204" pitchFamily="34" charset="0"/>
            <a:buChar char="•"/>
          </a:pPr>
          <a:r>
            <a:rPr lang="en-US" sz="1100" baseline="0"/>
            <a:t>Uniform tariff</a:t>
          </a:r>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8</xdr:col>
      <xdr:colOff>142875</xdr:colOff>
      <xdr:row>0</xdr:row>
      <xdr:rowOff>114299</xdr:rowOff>
    </xdr:from>
    <xdr:to>
      <xdr:col>14</xdr:col>
      <xdr:colOff>466725</xdr:colOff>
      <xdr:row>11</xdr:row>
      <xdr:rowOff>66675</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83225" y="114299"/>
          <a:ext cx="5003800" cy="1990726"/>
        </a:xfrm>
        <a:prstGeom prst="rect">
          <a:avLst/>
        </a:prstGeom>
      </xdr:spPr>
    </xdr:pic>
    <xdr:clientData/>
  </xdr:twoCellAnchor>
  <xdr:oneCellAnchor>
    <xdr:from>
      <xdr:col>0</xdr:col>
      <xdr:colOff>85725</xdr:colOff>
      <xdr:row>5</xdr:row>
      <xdr:rowOff>19050</xdr:rowOff>
    </xdr:from>
    <xdr:ext cx="2720040" cy="953466"/>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85725" y="952500"/>
          <a:ext cx="2720040" cy="9534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Scenario and assumptions:</a:t>
          </a:r>
        </a:p>
        <a:p>
          <a:pPr marL="171450" lvl="0" indent="-171450">
            <a:buFont typeface="Arial" panose="020B0604020202020204" pitchFamily="34" charset="0"/>
            <a:buChar char="•"/>
          </a:pPr>
          <a:r>
            <a:rPr lang="en-US" sz="1100" baseline="0"/>
            <a:t>Tyra scenario 2020</a:t>
          </a:r>
          <a:br>
            <a:rPr lang="en-US" sz="1100" baseline="0"/>
          </a:br>
          <a:r>
            <a:rPr lang="en-US" sz="1100" baseline="0">
              <a:solidFill>
                <a:schemeClr val="tx1"/>
              </a:solidFill>
              <a:effectLst/>
              <a:latin typeface="+mn-lt"/>
              <a:ea typeface="+mn-ea"/>
              <a:cs typeface="+mn-cs"/>
            </a:rPr>
            <a:t>- Ellund exit capacity ≈0 in Tyra scenario</a:t>
          </a:r>
          <a:endParaRPr lang="en-US" sz="1100" baseline="0"/>
        </a:p>
        <a:p>
          <a:pPr marL="171450" lvl="0" indent="-171450">
            <a:buFont typeface="Arial" panose="020B0604020202020204" pitchFamily="34" charset="0"/>
            <a:buChar char="•"/>
          </a:pPr>
          <a:r>
            <a:rPr lang="en-US" sz="1100" baseline="0"/>
            <a:t>Capacity based cost allocation assesment</a:t>
          </a:r>
        </a:p>
        <a:p>
          <a:pPr marL="171450" lvl="0" indent="-171450">
            <a:buFont typeface="Arial" panose="020B0604020202020204" pitchFamily="34" charset="0"/>
            <a:buChar char="•"/>
          </a:pPr>
          <a:r>
            <a:rPr lang="en-US" sz="1100" baseline="0"/>
            <a:t>Capacity  and distance cost driver</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en.energinet.dk/-/media/479D163BBD5848FA89BCE5C82267D8D9.xlsx?la=en&amp;hash=1C7EE0206704A691A39734C2BEBD9E9A40E0298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2:D21"/>
  <sheetViews>
    <sheetView showGridLines="0" tabSelected="1" zoomScaleNormal="100" workbookViewId="0">
      <selection activeCell="C26" sqref="C26"/>
    </sheetView>
  </sheetViews>
  <sheetFormatPr defaultColWidth="8.7109375" defaultRowHeight="15" x14ac:dyDescent="0.25"/>
  <cols>
    <col min="1" max="1" width="3.5703125" style="285" customWidth="1"/>
    <col min="2" max="2" width="1.42578125" style="285" customWidth="1"/>
    <col min="3" max="3" width="92.140625" style="285" customWidth="1"/>
    <col min="4" max="4" width="1.42578125" style="285" customWidth="1"/>
    <col min="5" max="16384" width="8.7109375" style="285"/>
  </cols>
  <sheetData>
    <row r="2" spans="2:4" x14ac:dyDescent="0.25">
      <c r="B2" s="282"/>
      <c r="C2" s="283"/>
      <c r="D2" s="284"/>
    </row>
    <row r="3" spans="2:4" ht="21" x14ac:dyDescent="0.35">
      <c r="B3" s="286"/>
      <c r="C3" s="287" t="s">
        <v>313</v>
      </c>
      <c r="D3" s="288"/>
    </row>
    <row r="4" spans="2:4" ht="45" x14ac:dyDescent="0.25">
      <c r="B4" s="286"/>
      <c r="C4" s="289" t="s">
        <v>391</v>
      </c>
      <c r="D4" s="288"/>
    </row>
    <row r="5" spans="2:4" ht="120" x14ac:dyDescent="0.25">
      <c r="B5" s="286"/>
      <c r="C5" s="289" t="s">
        <v>399</v>
      </c>
      <c r="D5" s="288"/>
    </row>
    <row r="6" spans="2:4" x14ac:dyDescent="0.25">
      <c r="B6" s="286"/>
      <c r="C6" s="290"/>
      <c r="D6" s="288"/>
    </row>
    <row r="7" spans="2:4" ht="30" x14ac:dyDescent="0.25">
      <c r="B7" s="286"/>
      <c r="C7" s="291" t="s">
        <v>398</v>
      </c>
      <c r="D7" s="288"/>
    </row>
    <row r="8" spans="2:4" x14ac:dyDescent="0.25">
      <c r="B8" s="286"/>
      <c r="C8" s="291"/>
      <c r="D8" s="288"/>
    </row>
    <row r="9" spans="2:4" ht="30" x14ac:dyDescent="0.25">
      <c r="B9" s="286"/>
      <c r="C9" s="291" t="s">
        <v>402</v>
      </c>
      <c r="D9" s="288"/>
    </row>
    <row r="10" spans="2:4" x14ac:dyDescent="0.25">
      <c r="B10" s="286"/>
      <c r="C10" s="291"/>
      <c r="D10" s="288"/>
    </row>
    <row r="11" spans="2:4" ht="21" x14ac:dyDescent="0.25">
      <c r="B11" s="286"/>
      <c r="C11" s="292" t="s">
        <v>314</v>
      </c>
      <c r="D11" s="288"/>
    </row>
    <row r="12" spans="2:4" x14ac:dyDescent="0.25">
      <c r="B12" s="286"/>
      <c r="C12" s="293"/>
      <c r="D12" s="288"/>
    </row>
    <row r="13" spans="2:4" x14ac:dyDescent="0.25">
      <c r="B13" s="286"/>
      <c r="C13" s="291" t="s">
        <v>392</v>
      </c>
      <c r="D13" s="288"/>
    </row>
    <row r="14" spans="2:4" x14ac:dyDescent="0.25">
      <c r="B14" s="286"/>
      <c r="C14" s="291"/>
      <c r="D14" s="288"/>
    </row>
    <row r="15" spans="2:4" x14ac:dyDescent="0.25">
      <c r="B15" s="286"/>
      <c r="C15" s="294" t="s">
        <v>335</v>
      </c>
      <c r="D15" s="288"/>
    </row>
    <row r="16" spans="2:4" x14ac:dyDescent="0.25">
      <c r="B16" s="286"/>
      <c r="C16" s="294" t="s">
        <v>336</v>
      </c>
      <c r="D16" s="288"/>
    </row>
    <row r="17" spans="2:4" x14ac:dyDescent="0.25">
      <c r="B17" s="286"/>
      <c r="C17" s="294" t="s">
        <v>337</v>
      </c>
      <c r="D17" s="288"/>
    </row>
    <row r="18" spans="2:4" ht="30" x14ac:dyDescent="0.25">
      <c r="B18" s="286"/>
      <c r="C18" s="294" t="s">
        <v>338</v>
      </c>
      <c r="D18" s="288"/>
    </row>
    <row r="19" spans="2:4" x14ac:dyDescent="0.25">
      <c r="B19" s="286"/>
      <c r="C19" s="294"/>
      <c r="D19" s="288"/>
    </row>
    <row r="20" spans="2:4" ht="21" hidden="1" x14ac:dyDescent="0.25">
      <c r="B20" s="286"/>
      <c r="C20" s="292" t="s">
        <v>355</v>
      </c>
      <c r="D20" s="288"/>
    </row>
    <row r="21" spans="2:4" ht="345" hidden="1" x14ac:dyDescent="0.25">
      <c r="B21" s="295"/>
      <c r="C21" s="387" t="s">
        <v>373</v>
      </c>
      <c r="D21" s="296"/>
    </row>
  </sheetData>
  <sheetProtection algorithmName="SHA-512" hashValue="+6dOxetDELwE8PoLJlt2v/wSOlg2iELRM2zo4woMXpKiOG+YkquixjoYWUDeL8bw0PiJM5NQfcHg1Pwqxye95g==" saltValue="dYslZz7VlamabMVxlRpCFw==" spinCount="100000" sheet="1" selectLockedCells="1"/>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Q115"/>
  <sheetViews>
    <sheetView topLeftCell="A76" workbookViewId="0">
      <selection activeCell="L89" sqref="L89"/>
    </sheetView>
  </sheetViews>
  <sheetFormatPr defaultColWidth="9.140625" defaultRowHeight="15" x14ac:dyDescent="0.25"/>
  <cols>
    <col min="1" max="2" width="9.140625" style="53"/>
    <col min="3" max="3" width="9.42578125" style="53" bestFit="1" customWidth="1"/>
    <col min="4" max="5" width="10" style="53" bestFit="1" customWidth="1"/>
    <col min="6" max="6" width="9.42578125" style="53" bestFit="1" customWidth="1"/>
    <col min="7" max="7" width="10" style="53" bestFit="1" customWidth="1"/>
    <col min="8" max="9" width="9.140625" style="53"/>
    <col min="10" max="14" width="9.42578125" style="53" bestFit="1" customWidth="1"/>
    <col min="15" max="16384" width="9.140625" style="53"/>
  </cols>
  <sheetData>
    <row r="1" spans="1:17" x14ac:dyDescent="0.25">
      <c r="A1" s="53" t="s">
        <v>86</v>
      </c>
      <c r="F1" s="60"/>
      <c r="G1" s="60"/>
      <c r="H1" s="60"/>
      <c r="I1" s="60"/>
      <c r="J1" s="60"/>
      <c r="K1" s="60"/>
      <c r="L1" s="60"/>
      <c r="M1" s="60"/>
      <c r="N1" s="60"/>
      <c r="O1" s="60"/>
    </row>
    <row r="2" spans="1:17" ht="15.75" x14ac:dyDescent="0.25">
      <c r="A2" s="54" t="s">
        <v>87</v>
      </c>
      <c r="F2" s="60"/>
      <c r="G2" s="60"/>
      <c r="H2" s="60"/>
      <c r="I2" s="60"/>
      <c r="J2" s="60"/>
      <c r="K2" s="60"/>
      <c r="L2" s="60"/>
      <c r="M2" s="60"/>
      <c r="N2" s="60"/>
      <c r="O2" s="60"/>
    </row>
    <row r="3" spans="1:17" x14ac:dyDescent="0.25">
      <c r="A3" s="55" t="s">
        <v>88</v>
      </c>
      <c r="F3" s="60"/>
      <c r="G3" s="60"/>
      <c r="H3" s="60"/>
      <c r="I3" s="60"/>
      <c r="J3" s="60"/>
      <c r="K3" s="60"/>
      <c r="L3" s="60"/>
      <c r="M3" s="60"/>
      <c r="N3" s="60"/>
      <c r="O3" s="60"/>
    </row>
    <row r="4" spans="1:17" x14ac:dyDescent="0.25">
      <c r="B4" s="56"/>
      <c r="C4" s="56"/>
      <c r="D4" s="56"/>
      <c r="E4" s="56"/>
      <c r="F4" s="86"/>
      <c r="G4" s="60"/>
      <c r="H4" s="60"/>
      <c r="I4" s="60"/>
      <c r="J4" s="60"/>
      <c r="K4" s="60"/>
      <c r="L4" s="60"/>
      <c r="M4" s="60"/>
      <c r="N4" s="60"/>
      <c r="O4" s="60"/>
    </row>
    <row r="5" spans="1:17" x14ac:dyDescent="0.25">
      <c r="A5" s="57" t="s">
        <v>89</v>
      </c>
      <c r="B5" s="55"/>
      <c r="C5" s="55"/>
      <c r="D5" s="55"/>
      <c r="E5" s="55"/>
      <c r="F5" s="87"/>
      <c r="G5" s="87"/>
      <c r="H5" s="87"/>
      <c r="I5" s="60"/>
      <c r="J5" s="60"/>
      <c r="K5" s="60"/>
      <c r="L5" s="60"/>
      <c r="M5" s="60"/>
      <c r="N5" s="60"/>
      <c r="O5" s="60"/>
    </row>
    <row r="6" spans="1:17" x14ac:dyDescent="0.25">
      <c r="F6" s="60"/>
      <c r="G6" s="60"/>
      <c r="H6" s="60"/>
      <c r="I6" s="60"/>
      <c r="J6" s="60"/>
      <c r="K6" s="60"/>
      <c r="L6" s="60"/>
      <c r="M6" s="60"/>
      <c r="N6" s="60"/>
      <c r="O6" s="60"/>
    </row>
    <row r="7" spans="1:17" x14ac:dyDescent="0.25">
      <c r="F7" s="60"/>
      <c r="G7" s="60"/>
      <c r="H7" s="60"/>
      <c r="I7" s="60"/>
      <c r="J7" s="60"/>
      <c r="K7" s="60"/>
      <c r="L7" s="60"/>
      <c r="M7" s="60"/>
      <c r="N7" s="60"/>
      <c r="O7" s="60"/>
    </row>
    <row r="8" spans="1:17" x14ac:dyDescent="0.25">
      <c r="F8" s="60"/>
      <c r="G8" s="60"/>
      <c r="H8" s="60"/>
      <c r="I8" s="60"/>
      <c r="J8" s="60"/>
      <c r="K8" s="60"/>
      <c r="L8" s="60"/>
      <c r="M8" s="60"/>
      <c r="N8" s="60"/>
      <c r="O8" s="60"/>
    </row>
    <row r="9" spans="1:17" x14ac:dyDescent="0.25">
      <c r="F9" s="60"/>
      <c r="G9" s="60"/>
      <c r="H9" s="60"/>
      <c r="I9" s="60"/>
      <c r="J9" s="60"/>
      <c r="K9" s="60"/>
      <c r="L9" s="60"/>
      <c r="M9" s="60"/>
      <c r="N9" s="60"/>
      <c r="O9" s="60"/>
    </row>
    <row r="10" spans="1:17" x14ac:dyDescent="0.25">
      <c r="F10" s="60"/>
      <c r="G10" s="60"/>
      <c r="H10" s="60"/>
      <c r="I10" s="60"/>
      <c r="J10" s="60"/>
      <c r="K10" s="60"/>
      <c r="L10" s="60"/>
      <c r="M10" s="60"/>
      <c r="N10" s="60"/>
      <c r="O10" s="60"/>
    </row>
    <row r="12" spans="1:17" x14ac:dyDescent="0.25">
      <c r="A12" s="88"/>
      <c r="B12" s="88"/>
      <c r="C12" s="88"/>
      <c r="D12" s="88"/>
      <c r="E12" s="88"/>
      <c r="F12" s="88"/>
      <c r="G12" s="88"/>
      <c r="H12" s="88"/>
      <c r="I12" s="88"/>
      <c r="J12" s="88"/>
      <c r="K12" s="88"/>
      <c r="L12" s="88"/>
      <c r="M12" s="88"/>
      <c r="N12" s="88"/>
      <c r="O12" s="88"/>
      <c r="P12" s="88"/>
      <c r="Q12" s="88"/>
    </row>
    <row r="13" spans="1:17" x14ac:dyDescent="0.25">
      <c r="A13" s="88"/>
      <c r="B13" s="88"/>
      <c r="C13" s="88"/>
      <c r="D13" s="88"/>
      <c r="E13" s="88"/>
      <c r="F13" s="88"/>
      <c r="G13" s="88"/>
      <c r="H13" s="88"/>
      <c r="I13" s="88"/>
      <c r="J13" s="88"/>
      <c r="K13" s="88"/>
      <c r="L13" s="88"/>
      <c r="M13" s="88"/>
      <c r="N13" s="88"/>
      <c r="O13" s="88"/>
      <c r="P13" s="88"/>
      <c r="Q13" s="88"/>
    </row>
    <row r="14" spans="1:17" ht="18.75" x14ac:dyDescent="0.3">
      <c r="A14" s="89" t="s">
        <v>90</v>
      </c>
      <c r="B14" s="90"/>
      <c r="C14" s="90"/>
      <c r="D14" s="90"/>
      <c r="E14" s="90"/>
      <c r="F14" s="90"/>
      <c r="G14" s="90"/>
      <c r="H14" s="90"/>
      <c r="I14" s="90"/>
      <c r="J14" s="90"/>
      <c r="K14" s="90"/>
      <c r="L14" s="90"/>
      <c r="M14" s="90"/>
      <c r="N14" s="90"/>
      <c r="O14" s="90"/>
      <c r="P14" s="88"/>
      <c r="Q14" s="88"/>
    </row>
    <row r="15" spans="1:17" x14ac:dyDescent="0.25">
      <c r="A15" s="90"/>
      <c r="B15" s="90"/>
      <c r="C15" s="90"/>
      <c r="D15" s="90"/>
      <c r="E15" s="90"/>
      <c r="F15" s="90"/>
      <c r="G15" s="90"/>
      <c r="H15" s="90"/>
      <c r="I15" s="90"/>
      <c r="J15" s="90"/>
      <c r="K15" s="90"/>
      <c r="L15" s="90"/>
      <c r="M15" s="90"/>
      <c r="N15" s="90"/>
      <c r="O15" s="90"/>
      <c r="P15" s="88"/>
      <c r="Q15" s="88"/>
    </row>
    <row r="16" spans="1:17" x14ac:dyDescent="0.25">
      <c r="A16" s="90"/>
      <c r="B16" s="59" t="s">
        <v>91</v>
      </c>
      <c r="C16" s="60"/>
      <c r="D16" s="60"/>
      <c r="E16" s="60"/>
      <c r="F16" s="60"/>
      <c r="G16" s="60"/>
      <c r="H16" s="60"/>
      <c r="I16" s="60"/>
      <c r="J16" s="60"/>
      <c r="K16" s="60"/>
      <c r="L16" s="60"/>
      <c r="M16" s="60"/>
      <c r="N16" s="60"/>
      <c r="O16" s="90"/>
      <c r="P16" s="88"/>
      <c r="Q16" s="88"/>
    </row>
    <row r="17" spans="1:17" x14ac:dyDescent="0.25">
      <c r="A17" s="90"/>
      <c r="B17" s="59" t="s">
        <v>26</v>
      </c>
      <c r="C17" s="61" t="s">
        <v>92</v>
      </c>
      <c r="D17" s="61" t="s">
        <v>93</v>
      </c>
      <c r="E17" s="61" t="s">
        <v>94</v>
      </c>
      <c r="F17" s="61"/>
      <c r="G17" s="60"/>
      <c r="H17" s="60"/>
      <c r="I17" s="60"/>
      <c r="J17" s="59" t="s">
        <v>8</v>
      </c>
      <c r="K17" s="61" t="s">
        <v>92</v>
      </c>
      <c r="L17" s="61" t="s">
        <v>93</v>
      </c>
      <c r="M17" s="61" t="s">
        <v>94</v>
      </c>
      <c r="N17" s="61"/>
      <c r="O17" s="90"/>
      <c r="P17" s="88"/>
      <c r="Q17" s="88"/>
    </row>
    <row r="18" spans="1:17" x14ac:dyDescent="0.25">
      <c r="A18" s="91" t="s">
        <v>95</v>
      </c>
      <c r="B18" s="61" t="s">
        <v>70</v>
      </c>
      <c r="C18" s="61">
        <v>0</v>
      </c>
      <c r="D18" s="61">
        <v>93</v>
      </c>
      <c r="E18" s="61">
        <f>'Forecasted Capacities'!B16*10^(-3)</f>
        <v>260</v>
      </c>
      <c r="F18" s="61"/>
      <c r="G18" s="60"/>
      <c r="H18" s="60"/>
      <c r="I18" s="60"/>
      <c r="J18" s="61" t="s">
        <v>68</v>
      </c>
      <c r="K18" s="61">
        <v>56.8</v>
      </c>
      <c r="L18" s="61">
        <v>0</v>
      </c>
      <c r="M18" s="61">
        <f>'Forecasted Capacities'!B13*10^(-3)</f>
        <v>1E-3</v>
      </c>
      <c r="N18" s="64"/>
      <c r="O18" s="90"/>
      <c r="P18" s="88"/>
      <c r="Q18" s="88"/>
    </row>
    <row r="19" spans="1:17" x14ac:dyDescent="0.25">
      <c r="A19" s="90"/>
      <c r="B19" s="61" t="s">
        <v>73</v>
      </c>
      <c r="C19" s="61">
        <v>56.8</v>
      </c>
      <c r="D19" s="61">
        <v>93</v>
      </c>
      <c r="E19" s="61">
        <f>'Forecasted Capacities'!B18*10^(-3)</f>
        <v>440</v>
      </c>
      <c r="F19" s="61"/>
      <c r="G19" s="60"/>
      <c r="H19" s="60"/>
      <c r="I19" s="60"/>
      <c r="J19" s="61" t="s">
        <v>66</v>
      </c>
      <c r="K19" s="61">
        <v>275.39999999999998</v>
      </c>
      <c r="L19" s="61">
        <v>93</v>
      </c>
      <c r="M19" s="61">
        <f>'Forecasted Capacities'!B12*10^(-3)</f>
        <v>1E-3</v>
      </c>
      <c r="N19" s="61"/>
      <c r="O19" s="90"/>
      <c r="P19" s="88"/>
      <c r="Q19" s="88"/>
    </row>
    <row r="20" spans="1:17" x14ac:dyDescent="0.25">
      <c r="A20" s="90"/>
      <c r="B20" s="61" t="s">
        <v>68</v>
      </c>
      <c r="C20" s="61">
        <v>56.8</v>
      </c>
      <c r="D20" s="61">
        <v>0</v>
      </c>
      <c r="E20" s="61">
        <f>'Forecasted Capacities'!B17*10^(-3)</f>
        <v>4100</v>
      </c>
      <c r="F20" s="61"/>
      <c r="G20" s="60"/>
      <c r="H20" s="60"/>
      <c r="I20" s="60"/>
      <c r="J20" s="61" t="s">
        <v>64</v>
      </c>
      <c r="K20" s="61">
        <v>190</v>
      </c>
      <c r="L20" s="61">
        <v>93</v>
      </c>
      <c r="M20" s="61">
        <f>'Forecasted Capacities'!B11*10^(-3)</f>
        <v>4733.3333333333303</v>
      </c>
      <c r="N20" s="61"/>
      <c r="O20" s="90"/>
      <c r="P20" s="88"/>
      <c r="Q20" s="88"/>
    </row>
    <row r="21" spans="1:17" x14ac:dyDescent="0.25">
      <c r="A21" s="90"/>
      <c r="B21" s="61" t="s">
        <v>96</v>
      </c>
      <c r="C21" s="61">
        <v>97.8</v>
      </c>
      <c r="D21" s="61">
        <v>93</v>
      </c>
      <c r="E21" s="61">
        <f>'Forecasted Capacities'!B22*10^(-3)</f>
        <v>7000</v>
      </c>
      <c r="F21" s="61"/>
      <c r="G21" s="60"/>
      <c r="H21" s="60"/>
      <c r="I21" s="60"/>
      <c r="J21" s="61" t="s">
        <v>96</v>
      </c>
      <c r="K21" s="61">
        <v>97.8</v>
      </c>
      <c r="L21" s="61">
        <v>93</v>
      </c>
      <c r="M21" s="61">
        <f>'Forecasted Capacities'!B21*10^(-3)</f>
        <v>4000</v>
      </c>
      <c r="N21" s="61"/>
      <c r="O21" s="90"/>
      <c r="P21" s="88"/>
      <c r="Q21" s="88"/>
    </row>
    <row r="22" spans="1:17" x14ac:dyDescent="0.25">
      <c r="A22" s="90"/>
      <c r="B22" s="60"/>
      <c r="C22" s="60"/>
      <c r="D22" s="60"/>
      <c r="E22" s="65">
        <f>SUM(E18:E21)</f>
        <v>11800</v>
      </c>
      <c r="F22" s="60"/>
      <c r="G22" s="60"/>
      <c r="H22" s="60"/>
      <c r="I22" s="60"/>
      <c r="J22" s="60"/>
      <c r="K22" s="60"/>
      <c r="L22" s="60"/>
      <c r="M22" s="65">
        <f>SUM(M18:M21)</f>
        <v>8733.3353333333307</v>
      </c>
      <c r="N22" s="60"/>
      <c r="O22" s="90"/>
      <c r="P22" s="88"/>
      <c r="Q22" s="88"/>
    </row>
    <row r="23" spans="1:17" x14ac:dyDescent="0.25">
      <c r="A23" s="90"/>
      <c r="B23" s="60"/>
      <c r="C23" s="60"/>
      <c r="D23" s="60"/>
      <c r="E23" s="60"/>
      <c r="F23" s="60"/>
      <c r="G23" s="60"/>
      <c r="H23" s="60"/>
      <c r="I23" s="60"/>
      <c r="J23" s="60"/>
      <c r="K23" s="60"/>
      <c r="L23" s="60"/>
      <c r="M23" s="60"/>
      <c r="N23" s="60"/>
      <c r="O23" s="90"/>
      <c r="P23" s="88"/>
      <c r="Q23" s="88"/>
    </row>
    <row r="24" spans="1:17" x14ac:dyDescent="0.25">
      <c r="A24" s="90"/>
      <c r="B24" s="59" t="s">
        <v>97</v>
      </c>
      <c r="C24" s="60"/>
      <c r="D24" s="60"/>
      <c r="E24" s="60"/>
      <c r="F24" s="60"/>
      <c r="G24" s="60"/>
      <c r="H24" s="60"/>
      <c r="I24" s="60"/>
      <c r="J24" s="60"/>
      <c r="K24" s="60"/>
      <c r="L24" s="60"/>
      <c r="M24" s="60"/>
      <c r="N24" s="60"/>
      <c r="O24" s="90"/>
      <c r="P24" s="88"/>
      <c r="Q24" s="88"/>
    </row>
    <row r="25" spans="1:17" ht="15.75" x14ac:dyDescent="0.25">
      <c r="A25" s="90"/>
      <c r="B25" s="66"/>
      <c r="C25" s="61" t="s">
        <v>98</v>
      </c>
      <c r="D25" s="60"/>
      <c r="E25" s="61">
        <f>'5. Current tariff method 20'!B13+'5. Current tariff method 20'!B14</f>
        <v>320.59471141603149</v>
      </c>
      <c r="F25" s="60"/>
      <c r="G25" s="60"/>
      <c r="H25" s="60"/>
      <c r="I25" s="60"/>
      <c r="J25" s="60"/>
      <c r="K25" s="60"/>
      <c r="L25" s="60"/>
      <c r="M25" s="60"/>
      <c r="N25" s="60"/>
      <c r="O25" s="90"/>
      <c r="P25" s="88"/>
      <c r="Q25" s="88"/>
    </row>
    <row r="26" spans="1:17" x14ac:dyDescent="0.25">
      <c r="A26" s="91" t="s">
        <v>99</v>
      </c>
      <c r="B26" s="60"/>
      <c r="C26" s="61" t="s">
        <v>100</v>
      </c>
      <c r="D26" s="60"/>
      <c r="E26" s="61">
        <f>'5. Current tariff method 20'!B14</f>
        <v>224.41629799122202</v>
      </c>
      <c r="F26" s="60"/>
      <c r="G26" s="60"/>
      <c r="H26" s="60"/>
      <c r="I26" s="60"/>
      <c r="J26" s="60"/>
      <c r="K26" s="60"/>
      <c r="L26" s="60"/>
      <c r="M26" s="60"/>
      <c r="N26" s="60"/>
      <c r="O26" s="90"/>
      <c r="P26" s="88"/>
      <c r="Q26" s="88"/>
    </row>
    <row r="27" spans="1:17" x14ac:dyDescent="0.25">
      <c r="A27" s="91" t="s">
        <v>101</v>
      </c>
      <c r="B27" s="60"/>
      <c r="C27" s="61" t="s">
        <v>102</v>
      </c>
      <c r="D27" s="61"/>
      <c r="E27" s="61">
        <v>0.5</v>
      </c>
      <c r="F27" s="60"/>
      <c r="G27" s="60"/>
      <c r="H27" s="60"/>
      <c r="I27" s="60"/>
      <c r="J27" s="60"/>
      <c r="K27" s="60"/>
      <c r="L27" s="60"/>
      <c r="M27" s="60"/>
      <c r="N27" s="60"/>
      <c r="O27" s="90"/>
      <c r="P27" s="88"/>
      <c r="Q27" s="88"/>
    </row>
    <row r="28" spans="1:17" x14ac:dyDescent="0.25">
      <c r="A28" s="91" t="s">
        <v>101</v>
      </c>
      <c r="B28" s="60"/>
      <c r="C28" s="61" t="s">
        <v>103</v>
      </c>
      <c r="D28" s="61"/>
      <c r="E28" s="61">
        <f>E26*E27</f>
        <v>112.20814899561101</v>
      </c>
      <c r="F28" s="60"/>
      <c r="G28" s="60"/>
      <c r="H28" s="60"/>
      <c r="I28" s="60"/>
      <c r="J28" s="60"/>
      <c r="K28" s="60"/>
      <c r="L28" s="60"/>
      <c r="N28" s="60"/>
      <c r="O28" s="90"/>
      <c r="P28" s="88"/>
      <c r="Q28" s="88"/>
    </row>
    <row r="29" spans="1:17" x14ac:dyDescent="0.25">
      <c r="A29" s="90"/>
      <c r="B29" s="60"/>
      <c r="C29" s="61" t="s">
        <v>104</v>
      </c>
      <c r="D29" s="61"/>
      <c r="E29" s="61">
        <f>E26*(1-E27)</f>
        <v>112.20814899561101</v>
      </c>
      <c r="F29" s="60"/>
      <c r="G29" s="60"/>
      <c r="H29" s="60"/>
      <c r="I29" s="60"/>
      <c r="J29" s="60"/>
      <c r="K29" s="60"/>
      <c r="L29" s="60"/>
      <c r="M29" s="60"/>
      <c r="N29" s="60"/>
      <c r="O29" s="90"/>
      <c r="P29" s="88"/>
      <c r="Q29" s="88"/>
    </row>
    <row r="30" spans="1:17" x14ac:dyDescent="0.25">
      <c r="A30" s="90"/>
      <c r="B30" s="60"/>
      <c r="C30" s="61" t="s">
        <v>105</v>
      </c>
      <c r="D30" s="60"/>
      <c r="E30" s="61">
        <f>'5. Current tariff method 20'!B13</f>
        <v>96.178413424809463</v>
      </c>
      <c r="F30" s="60"/>
      <c r="G30" s="60"/>
      <c r="H30" s="60"/>
      <c r="I30" s="60"/>
      <c r="J30" s="60"/>
      <c r="K30" s="60"/>
      <c r="L30" s="60"/>
      <c r="M30" s="60"/>
      <c r="N30" s="60"/>
      <c r="O30" s="90"/>
      <c r="P30" s="88"/>
      <c r="Q30" s="88"/>
    </row>
    <row r="31" spans="1:17" x14ac:dyDescent="0.25">
      <c r="A31" s="90"/>
      <c r="B31" s="90"/>
      <c r="C31" s="90"/>
      <c r="D31" s="90"/>
      <c r="E31" s="90"/>
      <c r="F31" s="90"/>
      <c r="G31" s="90"/>
      <c r="H31" s="90"/>
      <c r="I31" s="90"/>
      <c r="J31" s="90"/>
      <c r="K31" s="90"/>
      <c r="L31" s="90"/>
      <c r="M31" s="90"/>
      <c r="N31" s="90"/>
      <c r="O31" s="90"/>
      <c r="P31" s="88"/>
      <c r="Q31" s="88"/>
    </row>
    <row r="32" spans="1:17" x14ac:dyDescent="0.25">
      <c r="A32" s="90"/>
      <c r="B32" s="90"/>
      <c r="C32" s="90"/>
      <c r="D32" s="90"/>
      <c r="E32" s="90"/>
      <c r="F32" s="90"/>
      <c r="G32" s="90"/>
      <c r="H32" s="90"/>
      <c r="I32" s="90"/>
      <c r="J32" s="90"/>
      <c r="K32" s="92"/>
      <c r="L32" s="92"/>
      <c r="M32" s="90"/>
      <c r="N32" s="90"/>
      <c r="O32" s="90"/>
      <c r="P32" s="88"/>
      <c r="Q32" s="88"/>
    </row>
    <row r="33" spans="1:17" x14ac:dyDescent="0.25">
      <c r="A33" s="90"/>
      <c r="B33" s="93" t="s">
        <v>106</v>
      </c>
      <c r="C33" s="90"/>
      <c r="D33" s="90"/>
      <c r="E33" s="90"/>
      <c r="F33" s="90"/>
      <c r="G33" s="90"/>
      <c r="H33" s="90"/>
      <c r="I33" s="90"/>
      <c r="J33" s="93" t="s">
        <v>107</v>
      </c>
      <c r="K33" s="90"/>
      <c r="L33" s="90"/>
      <c r="M33" s="90"/>
      <c r="N33" s="90"/>
      <c r="O33" s="90"/>
      <c r="P33" s="88"/>
      <c r="Q33" s="88"/>
    </row>
    <row r="34" spans="1:17" x14ac:dyDescent="0.25">
      <c r="A34" s="90"/>
      <c r="B34" s="94" t="s">
        <v>108</v>
      </c>
      <c r="C34" s="94" t="s">
        <v>8</v>
      </c>
      <c r="D34" s="90"/>
      <c r="E34" s="90"/>
      <c r="F34" s="90"/>
      <c r="G34" s="90"/>
      <c r="H34" s="90"/>
      <c r="I34" s="90"/>
      <c r="J34" s="94" t="s">
        <v>109</v>
      </c>
      <c r="K34" s="95" t="s">
        <v>26</v>
      </c>
      <c r="L34" s="90"/>
      <c r="M34" s="90"/>
      <c r="N34" s="90"/>
      <c r="O34" s="90"/>
      <c r="P34" s="88"/>
      <c r="Q34" s="88"/>
    </row>
    <row r="35" spans="1:17" x14ac:dyDescent="0.25">
      <c r="A35" s="90"/>
      <c r="B35" s="94" t="s">
        <v>26</v>
      </c>
      <c r="C35" s="95" t="s">
        <v>68</v>
      </c>
      <c r="D35" s="95" t="s">
        <v>66</v>
      </c>
      <c r="E35" s="95" t="s">
        <v>64</v>
      </c>
      <c r="F35" s="95" t="s">
        <v>96</v>
      </c>
      <c r="G35" s="90"/>
      <c r="H35" s="90"/>
      <c r="I35" s="90"/>
      <c r="J35" s="95" t="s">
        <v>8</v>
      </c>
      <c r="K35" s="95" t="s">
        <v>70</v>
      </c>
      <c r="L35" s="95" t="s">
        <v>73</v>
      </c>
      <c r="M35" s="95" t="s">
        <v>68</v>
      </c>
      <c r="N35" s="95" t="s">
        <v>96</v>
      </c>
      <c r="O35" s="90"/>
      <c r="P35" s="88"/>
      <c r="Q35" s="88"/>
    </row>
    <row r="36" spans="1:17" x14ac:dyDescent="0.25">
      <c r="A36" s="90"/>
      <c r="B36" s="95" t="s">
        <v>70</v>
      </c>
      <c r="C36" s="95">
        <f>ABS(C20-C18)+ABS(D18-D20)</f>
        <v>149.80000000000001</v>
      </c>
      <c r="D36" s="95">
        <f>ABS(K19-C18)+ABS(L19-D18)</f>
        <v>275.39999999999998</v>
      </c>
      <c r="E36" s="95">
        <f>ABS(K20-C18)+ABS(L20-D18)</f>
        <v>190</v>
      </c>
      <c r="F36" s="95">
        <f>ABS(K21-C18)+ABS(L21-D18)</f>
        <v>97.8</v>
      </c>
      <c r="G36" s="90"/>
      <c r="H36" s="90"/>
      <c r="I36" s="90"/>
      <c r="J36" s="95" t="s">
        <v>68</v>
      </c>
      <c r="K36" s="95">
        <f t="shared" ref="K36:L39" si="0">$M18</f>
        <v>1E-3</v>
      </c>
      <c r="L36" s="95">
        <f t="shared" si="0"/>
        <v>1E-3</v>
      </c>
      <c r="M36" s="95">
        <v>0</v>
      </c>
      <c r="N36" s="95">
        <f>$M18</f>
        <v>1E-3</v>
      </c>
      <c r="O36" s="90"/>
      <c r="P36" s="88"/>
      <c r="Q36" s="88"/>
    </row>
    <row r="37" spans="1:17" x14ac:dyDescent="0.25">
      <c r="A37" s="90"/>
      <c r="B37" s="95" t="s">
        <v>73</v>
      </c>
      <c r="C37" s="95">
        <f>ABS(C19-C20)+ABS(D19-D20)</f>
        <v>93</v>
      </c>
      <c r="D37" s="95">
        <f>ABS(K19-C19)+ABS(L19-D19)</f>
        <v>218.59999999999997</v>
      </c>
      <c r="E37" s="95">
        <f>ABS(K20-C19)+ABS(L20-D19)</f>
        <v>133.19999999999999</v>
      </c>
      <c r="F37" s="95">
        <f>ABS(K21-C19)+ABS(L21-D19)</f>
        <v>41</v>
      </c>
      <c r="G37" s="90"/>
      <c r="H37" s="90"/>
      <c r="I37" s="90"/>
      <c r="J37" s="95" t="s">
        <v>66</v>
      </c>
      <c r="K37" s="95">
        <f t="shared" si="0"/>
        <v>1E-3</v>
      </c>
      <c r="L37" s="95">
        <f t="shared" si="0"/>
        <v>1E-3</v>
      </c>
      <c r="M37" s="95">
        <f>$M19</f>
        <v>1E-3</v>
      </c>
      <c r="N37" s="95">
        <f>$M19</f>
        <v>1E-3</v>
      </c>
      <c r="O37" s="90"/>
      <c r="P37" s="88"/>
      <c r="Q37" s="88"/>
    </row>
    <row r="38" spans="1:17" x14ac:dyDescent="0.25">
      <c r="A38" s="90"/>
      <c r="B38" s="95" t="s">
        <v>68</v>
      </c>
      <c r="C38" s="95">
        <v>0</v>
      </c>
      <c r="D38" s="95">
        <f>ABS(K19-K18)+ABS(L19-L18)</f>
        <v>311.59999999999997</v>
      </c>
      <c r="E38" s="95">
        <f>ABS(K20-K18)+ABS(L20-L18)</f>
        <v>226.2</v>
      </c>
      <c r="F38" s="95">
        <f>ABS(K21-K18)+ABS(L21-L18)</f>
        <v>134</v>
      </c>
      <c r="G38" s="90"/>
      <c r="H38" s="90"/>
      <c r="I38" s="90"/>
      <c r="J38" s="95" t="s">
        <v>64</v>
      </c>
      <c r="K38" s="95">
        <f>$M20</f>
        <v>4733.3333333333303</v>
      </c>
      <c r="L38" s="95">
        <f t="shared" si="0"/>
        <v>4733.3333333333303</v>
      </c>
      <c r="M38" s="95">
        <f>$M20</f>
        <v>4733.3333333333303</v>
      </c>
      <c r="N38" s="95">
        <f>$M20</f>
        <v>4733.3333333333303</v>
      </c>
      <c r="O38" s="90"/>
      <c r="P38" s="88"/>
      <c r="Q38" s="88"/>
    </row>
    <row r="39" spans="1:17" x14ac:dyDescent="0.25">
      <c r="A39" s="90"/>
      <c r="B39" s="95" t="s">
        <v>96</v>
      </c>
      <c r="C39" s="95">
        <f>ABS(C21-C20)+ABS(D21-D20)</f>
        <v>134</v>
      </c>
      <c r="D39" s="95">
        <f>ABS(K19-K21)+ABS(L19-L21)</f>
        <v>177.59999999999997</v>
      </c>
      <c r="E39" s="95">
        <f>ABS(K20-K21)+ABS(L20-L21)</f>
        <v>92.2</v>
      </c>
      <c r="F39" s="95">
        <v>0</v>
      </c>
      <c r="G39" s="90"/>
      <c r="H39" s="90"/>
      <c r="I39" s="90"/>
      <c r="J39" s="95" t="s">
        <v>96</v>
      </c>
      <c r="K39" s="95">
        <f t="shared" si="0"/>
        <v>4000</v>
      </c>
      <c r="L39" s="95">
        <f t="shared" si="0"/>
        <v>4000</v>
      </c>
      <c r="M39" s="95">
        <f>$M21</f>
        <v>4000</v>
      </c>
      <c r="N39" s="95">
        <v>0</v>
      </c>
      <c r="O39" s="90"/>
      <c r="P39" s="88"/>
      <c r="Q39" s="88"/>
    </row>
    <row r="40" spans="1:17" x14ac:dyDescent="0.25">
      <c r="A40" s="90"/>
      <c r="B40" s="90"/>
      <c r="C40" s="90"/>
      <c r="D40" s="90"/>
      <c r="E40" s="90"/>
      <c r="F40" s="90"/>
      <c r="G40" s="90"/>
      <c r="H40" s="90"/>
      <c r="I40" s="90"/>
      <c r="J40" s="95"/>
      <c r="K40" s="95"/>
      <c r="L40" s="95"/>
      <c r="M40" s="95"/>
      <c r="N40" s="95"/>
      <c r="O40" s="90"/>
      <c r="P40" s="88"/>
      <c r="Q40" s="88"/>
    </row>
    <row r="41" spans="1:17" x14ac:dyDescent="0.25">
      <c r="A41" s="90"/>
      <c r="B41" s="90"/>
      <c r="C41" s="90"/>
      <c r="D41" s="90"/>
      <c r="E41" s="90"/>
      <c r="F41" s="90"/>
      <c r="G41" s="90"/>
      <c r="H41" s="90"/>
      <c r="I41" s="90"/>
      <c r="J41" s="96" t="s">
        <v>14</v>
      </c>
      <c r="K41" s="96">
        <f>SUM(K36:K39)</f>
        <v>8733.3353333333307</v>
      </c>
      <c r="L41" s="96">
        <f t="shared" ref="L41:N41" si="1">SUM(L36:L39)</f>
        <v>8733.3353333333307</v>
      </c>
      <c r="M41" s="96">
        <f t="shared" si="1"/>
        <v>8733.3343333333305</v>
      </c>
      <c r="N41" s="96">
        <f t="shared" si="1"/>
        <v>4733.3353333333307</v>
      </c>
      <c r="O41" s="90"/>
      <c r="P41" s="88"/>
      <c r="Q41" s="88"/>
    </row>
    <row r="42" spans="1:17" x14ac:dyDescent="0.25">
      <c r="A42" s="90"/>
      <c r="B42" s="90"/>
      <c r="C42" s="90"/>
      <c r="D42" s="90"/>
      <c r="E42" s="90"/>
      <c r="F42" s="90"/>
      <c r="G42" s="90"/>
      <c r="H42" s="90"/>
      <c r="I42" s="90"/>
      <c r="J42" s="90"/>
      <c r="K42" s="90"/>
      <c r="L42" s="90"/>
      <c r="M42" s="90"/>
      <c r="N42" s="90"/>
      <c r="O42" s="88"/>
      <c r="P42" s="88"/>
      <c r="Q42" s="88"/>
    </row>
    <row r="43" spans="1:17" x14ac:dyDescent="0.25">
      <c r="A43" s="90"/>
      <c r="B43" s="93" t="s">
        <v>110</v>
      </c>
      <c r="C43" s="93"/>
      <c r="D43" s="93"/>
      <c r="E43" s="93" t="s">
        <v>111</v>
      </c>
      <c r="F43" s="93"/>
      <c r="G43" s="93"/>
      <c r="H43" s="93"/>
      <c r="I43" s="93"/>
      <c r="J43" s="93" t="s">
        <v>193</v>
      </c>
      <c r="K43" s="93"/>
      <c r="L43" s="90"/>
      <c r="M43" s="90"/>
      <c r="N43" s="90"/>
      <c r="O43" s="88"/>
      <c r="P43" s="88"/>
      <c r="Q43" s="88"/>
    </row>
    <row r="44" spans="1:17" x14ac:dyDescent="0.25">
      <c r="A44" s="91" t="s">
        <v>114</v>
      </c>
      <c r="B44" s="95"/>
      <c r="C44" s="94" t="s">
        <v>115</v>
      </c>
      <c r="D44" s="94"/>
      <c r="E44" s="94" t="s">
        <v>116</v>
      </c>
      <c r="F44" s="95"/>
      <c r="G44" s="95"/>
      <c r="H44" s="94"/>
      <c r="I44" s="95"/>
      <c r="J44" s="94" t="s">
        <v>118</v>
      </c>
      <c r="K44" s="94" t="s">
        <v>8</v>
      </c>
      <c r="L44" s="90"/>
      <c r="M44" s="90"/>
      <c r="N44" s="90"/>
      <c r="O44" s="88"/>
      <c r="P44" s="88"/>
      <c r="Q44" s="88"/>
    </row>
    <row r="45" spans="1:17" x14ac:dyDescent="0.25">
      <c r="A45" s="90"/>
      <c r="B45" s="95" t="s">
        <v>70</v>
      </c>
      <c r="C45" s="95">
        <f>MMULT(C36:F36,K36:K39)/K41</f>
        <v>147.77100721274644</v>
      </c>
      <c r="D45" s="95"/>
      <c r="E45" s="95">
        <f>SUMPRODUCT(C45:C48,E18:E21)</f>
        <v>1478129.0217812373</v>
      </c>
      <c r="F45" s="95"/>
      <c r="G45" s="95"/>
      <c r="H45" s="95"/>
      <c r="I45" s="95"/>
      <c r="J45" s="94" t="s">
        <v>26</v>
      </c>
      <c r="K45" s="95" t="s">
        <v>68</v>
      </c>
      <c r="L45" s="95" t="s">
        <v>66</v>
      </c>
      <c r="M45" s="95" t="s">
        <v>64</v>
      </c>
      <c r="N45" s="95" t="s">
        <v>96</v>
      </c>
      <c r="O45" s="88"/>
      <c r="P45" s="88"/>
      <c r="Q45" s="88"/>
    </row>
    <row r="46" spans="1:17" x14ac:dyDescent="0.25">
      <c r="A46" s="90"/>
      <c r="B46" s="95" t="s">
        <v>73</v>
      </c>
      <c r="C46" s="95">
        <f>MMULT(C37:F37,L36:L39)/L41</f>
        <v>90.971007212746414</v>
      </c>
      <c r="D46" s="95"/>
      <c r="E46" s="95"/>
      <c r="F46" s="95"/>
      <c r="G46" s="95"/>
      <c r="H46" s="95"/>
      <c r="I46" s="95"/>
      <c r="J46" s="95" t="s">
        <v>70</v>
      </c>
      <c r="K46" s="95">
        <f t="shared" ref="K46:N47" si="2">$E18</f>
        <v>260</v>
      </c>
      <c r="L46" s="95">
        <f t="shared" si="2"/>
        <v>260</v>
      </c>
      <c r="M46" s="95">
        <f t="shared" si="2"/>
        <v>260</v>
      </c>
      <c r="N46" s="95">
        <f t="shared" si="2"/>
        <v>260</v>
      </c>
      <c r="O46" s="88"/>
      <c r="P46" s="88"/>
      <c r="Q46" s="88"/>
    </row>
    <row r="47" spans="1:17" x14ac:dyDescent="0.25">
      <c r="A47" s="90"/>
      <c r="B47" s="95" t="s">
        <v>68</v>
      </c>
      <c r="C47" s="95">
        <f>MMULT(C38:F38,M36:M39)/M41</f>
        <v>183.97100698041902</v>
      </c>
      <c r="D47" s="95"/>
      <c r="E47" s="95"/>
      <c r="F47" s="95"/>
      <c r="G47" s="95"/>
      <c r="H47" s="95"/>
      <c r="I47" s="95"/>
      <c r="J47" s="95" t="s">
        <v>73</v>
      </c>
      <c r="K47" s="95">
        <f t="shared" si="2"/>
        <v>440</v>
      </c>
      <c r="L47" s="95">
        <f t="shared" si="2"/>
        <v>440</v>
      </c>
      <c r="M47" s="95">
        <f t="shared" si="2"/>
        <v>440</v>
      </c>
      <c r="N47" s="95">
        <f t="shared" si="2"/>
        <v>440</v>
      </c>
      <c r="O47" s="88"/>
      <c r="P47" s="88"/>
      <c r="Q47" s="88"/>
    </row>
    <row r="48" spans="1:17" x14ac:dyDescent="0.25">
      <c r="A48" s="90"/>
      <c r="B48" s="95" t="s">
        <v>96</v>
      </c>
      <c r="C48" s="95">
        <f>MMULT(C39:F39,N36:N39)/N41</f>
        <v>92.200026873228083</v>
      </c>
      <c r="D48" s="95"/>
      <c r="E48" s="95"/>
      <c r="F48" s="95"/>
      <c r="G48" s="95"/>
      <c r="H48" s="95"/>
      <c r="I48" s="95"/>
      <c r="J48" s="95" t="s">
        <v>68</v>
      </c>
      <c r="K48" s="95">
        <f>$J76</f>
        <v>0</v>
      </c>
      <c r="L48" s="95">
        <f>$E20</f>
        <v>4100</v>
      </c>
      <c r="M48" s="95">
        <f>$E20</f>
        <v>4100</v>
      </c>
      <c r="N48" s="95">
        <f>$E20</f>
        <v>4100</v>
      </c>
      <c r="O48" s="88"/>
      <c r="P48" s="88"/>
      <c r="Q48" s="88"/>
    </row>
    <row r="49" spans="1:17" x14ac:dyDescent="0.25">
      <c r="A49" s="90"/>
      <c r="B49" s="90"/>
      <c r="C49" s="90"/>
      <c r="D49" s="90"/>
      <c r="E49" s="90"/>
      <c r="F49" s="90"/>
      <c r="G49" s="90"/>
      <c r="H49" s="90"/>
      <c r="I49" s="90"/>
      <c r="J49" s="95" t="s">
        <v>96</v>
      </c>
      <c r="K49" s="95">
        <f>$E21</f>
        <v>7000</v>
      </c>
      <c r="L49" s="95">
        <f>$E21</f>
        <v>7000</v>
      </c>
      <c r="M49" s="95">
        <f>$E21</f>
        <v>7000</v>
      </c>
      <c r="N49" s="95">
        <v>0</v>
      </c>
      <c r="O49" s="88"/>
      <c r="P49" s="88"/>
      <c r="Q49" s="88"/>
    </row>
    <row r="50" spans="1:17" x14ac:dyDescent="0.25">
      <c r="A50" s="90"/>
      <c r="B50" s="90"/>
      <c r="C50" s="90"/>
      <c r="D50" s="90"/>
      <c r="E50" s="90"/>
      <c r="F50" s="90"/>
      <c r="G50" s="90"/>
      <c r="H50" s="90"/>
      <c r="I50" s="90"/>
      <c r="J50" s="95"/>
      <c r="K50" s="95"/>
      <c r="L50" s="95"/>
      <c r="M50" s="95"/>
      <c r="N50" s="95"/>
      <c r="O50" s="88"/>
      <c r="P50" s="90"/>
      <c r="Q50" s="90"/>
    </row>
    <row r="51" spans="1:17" x14ac:dyDescent="0.25">
      <c r="A51" s="90"/>
      <c r="B51" s="90"/>
      <c r="C51" s="90"/>
      <c r="D51" s="90"/>
      <c r="E51" s="90"/>
      <c r="F51" s="90"/>
      <c r="G51" s="90"/>
      <c r="H51" s="90"/>
      <c r="I51" s="90"/>
      <c r="J51" s="96" t="s">
        <v>14</v>
      </c>
      <c r="K51" s="96">
        <f>SUM(K46:K49)</f>
        <v>7700</v>
      </c>
      <c r="L51" s="96">
        <f t="shared" ref="L51:N51" si="3">SUM(L46:L49)</f>
        <v>11800</v>
      </c>
      <c r="M51" s="96">
        <f t="shared" si="3"/>
        <v>11800</v>
      </c>
      <c r="N51" s="96">
        <f t="shared" si="3"/>
        <v>4800</v>
      </c>
      <c r="O51" s="88"/>
      <c r="P51" s="90"/>
      <c r="Q51" s="90"/>
    </row>
    <row r="52" spans="1:17" x14ac:dyDescent="0.25">
      <c r="A52" s="90"/>
      <c r="B52" s="90"/>
      <c r="C52" s="90"/>
      <c r="D52" s="90"/>
      <c r="E52" s="90"/>
      <c r="F52" s="90"/>
      <c r="G52" s="90"/>
      <c r="H52" s="90"/>
      <c r="I52" s="90"/>
      <c r="J52" s="90"/>
      <c r="K52" s="90"/>
      <c r="L52" s="90"/>
      <c r="M52" s="90"/>
      <c r="N52" s="90"/>
      <c r="O52" s="88"/>
      <c r="P52" s="90"/>
      <c r="Q52" s="97"/>
    </row>
    <row r="53" spans="1:17" x14ac:dyDescent="0.25">
      <c r="A53" s="90"/>
      <c r="B53" s="93" t="s">
        <v>194</v>
      </c>
      <c r="C53" s="93"/>
      <c r="D53" s="93"/>
      <c r="E53" s="93" t="s">
        <v>195</v>
      </c>
      <c r="F53" s="93"/>
      <c r="G53" s="93"/>
      <c r="H53" s="93"/>
      <c r="I53" s="93"/>
      <c r="J53" s="98" t="s">
        <v>196</v>
      </c>
      <c r="K53" s="99"/>
      <c r="L53" s="100"/>
      <c r="M53" s="101"/>
      <c r="N53" s="102"/>
      <c r="O53" s="88"/>
    </row>
    <row r="54" spans="1:17" x14ac:dyDescent="0.25">
      <c r="A54" s="90"/>
      <c r="B54" s="95"/>
      <c r="C54" s="94" t="s">
        <v>122</v>
      </c>
      <c r="D54" s="94"/>
      <c r="E54" s="94" t="s">
        <v>116</v>
      </c>
      <c r="F54" s="94"/>
      <c r="G54" s="94"/>
      <c r="H54" s="94"/>
      <c r="I54" s="90"/>
      <c r="J54" s="103"/>
      <c r="K54" s="88"/>
      <c r="L54" s="88"/>
      <c r="M54" s="38"/>
      <c r="N54" s="39"/>
      <c r="O54" s="90"/>
    </row>
    <row r="55" spans="1:17" x14ac:dyDescent="0.25">
      <c r="A55" s="90"/>
      <c r="B55" s="95" t="s">
        <v>68</v>
      </c>
      <c r="C55" s="95">
        <f>SUMPRODUCT(K46:K49,C36:C39)/K51</f>
        <v>132.19064935064935</v>
      </c>
      <c r="D55" s="90"/>
      <c r="E55" s="95">
        <f>SUMPRODUCT(C55:C58,M18:M21)</f>
        <v>1168287.4673783325</v>
      </c>
      <c r="F55" s="95"/>
      <c r="G55" s="95"/>
      <c r="H55" s="95"/>
      <c r="J55" s="104" t="s">
        <v>135</v>
      </c>
      <c r="K55" s="105" t="s">
        <v>136</v>
      </c>
      <c r="L55" s="88"/>
      <c r="M55" s="38"/>
      <c r="N55" s="39"/>
      <c r="O55" s="90"/>
    </row>
    <row r="56" spans="1:17" x14ac:dyDescent="0.25">
      <c r="A56" s="90"/>
      <c r="B56" s="95" t="s">
        <v>66</v>
      </c>
      <c r="C56" s="95">
        <f>SUMPRODUCT(L46:L49,D36:D39)/L51</f>
        <v>227.84305084745759</v>
      </c>
      <c r="D56" s="90"/>
      <c r="E56" s="95"/>
      <c r="F56" s="95"/>
      <c r="G56" s="95"/>
      <c r="H56" s="95"/>
      <c r="J56" s="106">
        <f>M77</f>
        <v>2.3540166179463959E-2</v>
      </c>
      <c r="K56" s="107">
        <f>J56*E18</f>
        <v>6.1204432066606289</v>
      </c>
      <c r="L56" s="107"/>
      <c r="M56" s="38"/>
      <c r="N56" s="39"/>
      <c r="O56" s="90"/>
    </row>
    <row r="57" spans="1:17" x14ac:dyDescent="0.25">
      <c r="A57" s="90"/>
      <c r="B57" s="95" t="s">
        <v>64</v>
      </c>
      <c r="C57" s="95">
        <f>SUMPRODUCT(M46:M49,E36:E39)/M51</f>
        <v>142.44305084745761</v>
      </c>
      <c r="D57" s="90"/>
      <c r="E57" s="95"/>
      <c r="F57" s="95"/>
      <c r="G57" s="95"/>
      <c r="H57" s="95"/>
      <c r="J57" s="106">
        <f>M77</f>
        <v>2.3540166179463959E-2</v>
      </c>
      <c r="K57" s="107">
        <f>J57*E19</f>
        <v>10.357673118964142</v>
      </c>
      <c r="L57" s="107"/>
      <c r="M57" s="38"/>
      <c r="N57" s="39"/>
      <c r="O57" s="90"/>
    </row>
    <row r="58" spans="1:17" x14ac:dyDescent="0.25">
      <c r="A58" s="90"/>
      <c r="B58" s="95" t="s">
        <v>96</v>
      </c>
      <c r="C58" s="95">
        <f>SUMPRODUCT(N46:N49,F36:F39)/N51</f>
        <v>123.51416666666667</v>
      </c>
      <c r="D58" s="90"/>
      <c r="E58" s="95"/>
      <c r="F58" s="95"/>
      <c r="G58" s="95"/>
      <c r="H58" s="95"/>
      <c r="J58" s="106">
        <f>M77</f>
        <v>2.3540166179463959E-2</v>
      </c>
      <c r="K58" s="107">
        <f>J58*E20</f>
        <v>96.514681335802237</v>
      </c>
      <c r="L58" s="107"/>
      <c r="M58" s="88"/>
      <c r="N58" s="108"/>
      <c r="O58" s="90"/>
    </row>
    <row r="59" spans="1:17" x14ac:dyDescent="0.25">
      <c r="A59" s="90"/>
      <c r="B59" s="90"/>
      <c r="C59" s="90"/>
      <c r="D59" s="90"/>
      <c r="E59" s="90"/>
      <c r="F59" s="90"/>
      <c r="G59" s="90"/>
      <c r="H59" s="90"/>
      <c r="J59" s="106">
        <v>0</v>
      </c>
      <c r="K59" s="107">
        <f>J59*E21</f>
        <v>0</v>
      </c>
      <c r="L59" s="107"/>
      <c r="M59" s="88"/>
      <c r="N59" s="108"/>
      <c r="O59" s="90"/>
    </row>
    <row r="60" spans="1:17" x14ac:dyDescent="0.25">
      <c r="A60" s="90"/>
      <c r="B60" s="93"/>
      <c r="C60" s="93"/>
      <c r="D60" s="93"/>
      <c r="E60" s="93"/>
      <c r="F60" s="93"/>
      <c r="G60" s="93"/>
      <c r="H60" s="90"/>
      <c r="J60" s="106"/>
      <c r="K60" s="107"/>
      <c r="L60" s="107"/>
      <c r="M60" s="88"/>
      <c r="N60" s="108"/>
      <c r="O60" s="90"/>
    </row>
    <row r="61" spans="1:17" x14ac:dyDescent="0.25">
      <c r="A61" s="90"/>
      <c r="B61" s="90"/>
      <c r="C61" s="90"/>
      <c r="D61" s="90"/>
      <c r="E61" s="90"/>
      <c r="F61" s="90"/>
      <c r="G61" s="90"/>
      <c r="H61" s="90"/>
      <c r="J61" s="103"/>
      <c r="K61" s="109">
        <f>SUM(K56:K59)</f>
        <v>112.99279766142701</v>
      </c>
      <c r="L61" s="88"/>
      <c r="M61" s="88"/>
      <c r="N61" s="108"/>
      <c r="O61" s="90"/>
    </row>
    <row r="62" spans="1:17" x14ac:dyDescent="0.25">
      <c r="A62" s="90"/>
      <c r="B62" s="94"/>
      <c r="C62" s="94"/>
      <c r="D62" s="94"/>
      <c r="J62" s="103"/>
      <c r="K62" s="88"/>
      <c r="L62" s="88"/>
      <c r="M62" s="88"/>
      <c r="N62" s="108"/>
      <c r="O62" s="90"/>
    </row>
    <row r="63" spans="1:17" x14ac:dyDescent="0.25">
      <c r="A63" s="90"/>
      <c r="B63" s="95"/>
      <c r="C63" s="95"/>
      <c r="D63" s="95"/>
      <c r="J63" s="103"/>
      <c r="K63" s="88"/>
      <c r="L63" s="88"/>
      <c r="M63" s="88"/>
      <c r="N63" s="108"/>
      <c r="O63" s="90"/>
    </row>
    <row r="64" spans="1:17" x14ac:dyDescent="0.25">
      <c r="A64" s="90"/>
      <c r="J64" s="110" t="s">
        <v>197</v>
      </c>
      <c r="K64" s="111"/>
      <c r="L64" s="88"/>
      <c r="M64" s="88"/>
      <c r="N64" s="108"/>
      <c r="O64" s="90"/>
    </row>
    <row r="65" spans="1:17" x14ac:dyDescent="0.25">
      <c r="A65" s="90"/>
      <c r="J65" s="103"/>
      <c r="K65" s="88"/>
      <c r="L65" s="88"/>
      <c r="M65" s="88"/>
      <c r="N65" s="108"/>
      <c r="O65" s="90"/>
    </row>
    <row r="66" spans="1:17" x14ac:dyDescent="0.25">
      <c r="A66" s="90"/>
      <c r="H66" s="90"/>
      <c r="J66" s="104" t="s">
        <v>149</v>
      </c>
      <c r="K66" s="105" t="s">
        <v>150</v>
      </c>
      <c r="L66" s="88"/>
      <c r="M66" s="88"/>
      <c r="N66" s="108"/>
      <c r="O66" s="90"/>
    </row>
    <row r="67" spans="1:17" x14ac:dyDescent="0.25">
      <c r="A67" s="90"/>
      <c r="H67" s="90"/>
      <c r="J67" s="106">
        <f>M77</f>
        <v>2.3540166179463959E-2</v>
      </c>
      <c r="K67" s="107">
        <f>J67*M18</f>
        <v>2.354016617946396E-5</v>
      </c>
      <c r="L67" s="107"/>
      <c r="M67" s="88"/>
      <c r="N67" s="108"/>
      <c r="O67" s="90"/>
    </row>
    <row r="68" spans="1:17" x14ac:dyDescent="0.25">
      <c r="A68" s="90"/>
      <c r="B68" s="90"/>
      <c r="C68" s="90"/>
      <c r="D68" s="90"/>
      <c r="E68" s="112"/>
      <c r="F68" s="90"/>
      <c r="G68" s="90"/>
      <c r="H68" s="90"/>
      <c r="J68" s="106">
        <f>M77</f>
        <v>2.3540166179463959E-2</v>
      </c>
      <c r="K68" s="107">
        <f>J68*M19</f>
        <v>2.354016617946396E-5</v>
      </c>
      <c r="L68" s="107"/>
      <c r="M68" s="88"/>
      <c r="N68" s="108"/>
      <c r="O68" s="90"/>
    </row>
    <row r="69" spans="1:17" x14ac:dyDescent="0.25">
      <c r="A69" s="90"/>
      <c r="B69" s="90"/>
      <c r="C69" s="90"/>
      <c r="D69" s="90"/>
      <c r="E69" s="90"/>
      <c r="F69" s="90"/>
      <c r="G69" s="90"/>
      <c r="H69" s="90"/>
      <c r="J69" s="106">
        <f>M77</f>
        <v>2.3540166179463959E-2</v>
      </c>
      <c r="K69" s="107">
        <f>J69*M20</f>
        <v>111.42345324946267</v>
      </c>
      <c r="L69" s="107"/>
      <c r="M69" s="88"/>
      <c r="N69" s="108"/>
      <c r="O69" s="90"/>
    </row>
    <row r="70" spans="1:17" x14ac:dyDescent="0.25">
      <c r="A70" s="90"/>
      <c r="B70" s="90"/>
      <c r="C70" s="90"/>
      <c r="D70" s="90"/>
      <c r="E70" s="90"/>
      <c r="F70" s="90"/>
      <c r="G70" s="90"/>
      <c r="H70" s="90"/>
      <c r="J70" s="106">
        <v>0</v>
      </c>
      <c r="K70" s="107">
        <f>J70*M21</f>
        <v>0</v>
      </c>
      <c r="L70" s="107"/>
      <c r="M70" s="88"/>
      <c r="N70" s="108"/>
      <c r="O70" s="90"/>
    </row>
    <row r="71" spans="1:17" x14ac:dyDescent="0.25">
      <c r="A71" s="90"/>
      <c r="B71" s="93"/>
      <c r="C71" s="93"/>
      <c r="D71" s="93"/>
      <c r="E71" s="93"/>
      <c r="F71" s="93"/>
      <c r="G71" s="93"/>
      <c r="H71" s="90"/>
      <c r="J71" s="106"/>
      <c r="K71" s="107"/>
      <c r="L71" s="107"/>
      <c r="M71" s="88"/>
      <c r="N71" s="108"/>
      <c r="O71" s="90"/>
    </row>
    <row r="72" spans="1:17" x14ac:dyDescent="0.25">
      <c r="A72" s="90"/>
      <c r="B72" s="90"/>
      <c r="C72" s="90"/>
      <c r="D72" s="90"/>
      <c r="E72" s="90"/>
      <c r="F72" s="90"/>
      <c r="G72" s="90"/>
      <c r="H72" s="90"/>
      <c r="J72" s="103"/>
      <c r="K72" s="109">
        <f>SUM(K67:K70)</f>
        <v>111.42350032979503</v>
      </c>
      <c r="L72" s="88"/>
      <c r="M72" s="88"/>
      <c r="N72" s="108"/>
      <c r="O72" s="90"/>
    </row>
    <row r="73" spans="1:17" x14ac:dyDescent="0.25">
      <c r="A73" s="90"/>
      <c r="B73" s="94"/>
      <c r="C73" s="94"/>
      <c r="D73" s="94"/>
      <c r="E73" s="94"/>
      <c r="F73" s="94"/>
      <c r="G73" s="90"/>
      <c r="H73" s="90"/>
      <c r="J73" s="113"/>
      <c r="K73" s="38"/>
      <c r="L73" s="38"/>
      <c r="M73" s="88"/>
      <c r="N73" s="108"/>
      <c r="O73" s="90"/>
    </row>
    <row r="74" spans="1:17" x14ac:dyDescent="0.25">
      <c r="A74" s="90"/>
      <c r="B74" s="95"/>
      <c r="C74" s="95"/>
      <c r="D74" s="95"/>
      <c r="E74" s="95"/>
      <c r="F74" s="95"/>
      <c r="G74" s="95"/>
      <c r="H74" s="90"/>
      <c r="J74" s="113"/>
      <c r="K74" s="38"/>
      <c r="L74" s="38"/>
      <c r="M74" s="88"/>
      <c r="N74" s="108"/>
      <c r="O74" s="90"/>
      <c r="Q74" s="60"/>
    </row>
    <row r="75" spans="1:17" x14ac:dyDescent="0.25">
      <c r="A75" s="90"/>
      <c r="B75" s="95"/>
      <c r="C75" s="95"/>
      <c r="D75" s="95"/>
      <c r="E75" s="95"/>
      <c r="F75" s="95"/>
      <c r="G75" s="95"/>
      <c r="H75" s="90"/>
      <c r="J75" s="114"/>
      <c r="K75" s="115"/>
      <c r="L75" s="115"/>
      <c r="M75" s="115"/>
      <c r="N75" s="116"/>
      <c r="O75" s="90"/>
      <c r="Q75" s="60"/>
    </row>
    <row r="76" spans="1:17" x14ac:dyDescent="0.25">
      <c r="A76" s="90"/>
      <c r="B76" s="95"/>
      <c r="C76" s="95"/>
      <c r="D76" s="95"/>
      <c r="E76" s="95"/>
      <c r="F76" s="95"/>
      <c r="G76" s="95"/>
      <c r="H76" s="90"/>
      <c r="J76" s="114"/>
      <c r="K76" s="115" t="s">
        <v>30</v>
      </c>
      <c r="L76" s="115"/>
      <c r="M76" s="115" t="s">
        <v>198</v>
      </c>
      <c r="N76" s="116"/>
      <c r="O76" s="90"/>
      <c r="Q76" s="60"/>
    </row>
    <row r="77" spans="1:17" x14ac:dyDescent="0.25">
      <c r="A77" s="90"/>
      <c r="B77" s="95"/>
      <c r="C77" s="95"/>
      <c r="D77" s="95"/>
      <c r="E77" s="95"/>
      <c r="F77" s="95"/>
      <c r="G77" s="95"/>
      <c r="H77" s="90"/>
      <c r="J77" s="114" t="s">
        <v>199</v>
      </c>
      <c r="K77" s="115">
        <f>'5. Current tariff method 20'!B20</f>
        <v>23.540166179463959</v>
      </c>
      <c r="L77" s="115"/>
      <c r="M77" s="115">
        <f>K77*10^(-3)</f>
        <v>2.3540166179463959E-2</v>
      </c>
      <c r="N77" s="116"/>
      <c r="O77" s="90"/>
      <c r="Q77" s="60"/>
    </row>
    <row r="78" spans="1:17" x14ac:dyDescent="0.25">
      <c r="A78" s="90"/>
      <c r="B78" s="95"/>
      <c r="C78" s="95"/>
      <c r="D78" s="95"/>
      <c r="E78" s="95"/>
      <c r="F78" s="95"/>
      <c r="G78" s="95"/>
      <c r="H78" s="90"/>
      <c r="J78" s="117"/>
      <c r="K78" s="118"/>
      <c r="L78" s="118"/>
      <c r="M78" s="118"/>
      <c r="N78" s="119"/>
      <c r="O78" s="90"/>
      <c r="Q78" s="90"/>
    </row>
    <row r="79" spans="1:17" x14ac:dyDescent="0.25">
      <c r="A79" s="90"/>
      <c r="B79" s="90"/>
      <c r="C79" s="90"/>
      <c r="D79" s="90"/>
      <c r="E79" s="112"/>
      <c r="F79" s="90"/>
      <c r="G79" s="90"/>
      <c r="H79" s="90"/>
      <c r="M79" s="88"/>
      <c r="N79" s="88"/>
      <c r="O79" s="90"/>
    </row>
    <row r="80" spans="1:17" x14ac:dyDescent="0.25">
      <c r="A80" s="90"/>
      <c r="B80" s="90"/>
      <c r="C80" s="90"/>
      <c r="D80" s="90"/>
      <c r="E80" s="90"/>
      <c r="F80" s="90"/>
      <c r="G80" s="90"/>
      <c r="H80" s="90"/>
      <c r="M80" s="88"/>
      <c r="N80" s="88"/>
      <c r="O80" s="60"/>
      <c r="P80" s="88"/>
      <c r="Q80" s="88"/>
    </row>
    <row r="81" spans="1:12" ht="18.75" x14ac:dyDescent="0.3">
      <c r="A81" s="120"/>
      <c r="B81" s="60"/>
      <c r="C81" s="60"/>
      <c r="D81" s="60"/>
      <c r="E81" s="60"/>
      <c r="F81" s="60"/>
      <c r="G81" s="60"/>
      <c r="H81" s="60"/>
    </row>
    <row r="83" spans="1:12" x14ac:dyDescent="0.25">
      <c r="B83" s="68" t="s">
        <v>152</v>
      </c>
      <c r="J83" s="68" t="s">
        <v>153</v>
      </c>
    </row>
    <row r="84" spans="1:12" x14ac:dyDescent="0.25">
      <c r="B84" s="69" t="s">
        <v>154</v>
      </c>
      <c r="C84" s="69" t="s">
        <v>155</v>
      </c>
      <c r="D84" s="69" t="s">
        <v>156</v>
      </c>
      <c r="E84" s="69" t="s">
        <v>156</v>
      </c>
      <c r="F84" s="69" t="s">
        <v>155</v>
      </c>
      <c r="G84" s="74"/>
      <c r="J84" s="75" t="s">
        <v>157</v>
      </c>
      <c r="K84" s="75"/>
      <c r="L84" s="75"/>
    </row>
    <row r="85" spans="1:12" x14ac:dyDescent="0.25">
      <c r="B85" s="62"/>
      <c r="C85" s="62" t="s">
        <v>64</v>
      </c>
      <c r="D85" s="62" t="s">
        <v>68</v>
      </c>
      <c r="E85" s="62" t="s">
        <v>66</v>
      </c>
      <c r="F85" s="62" t="s">
        <v>96</v>
      </c>
      <c r="G85" s="74"/>
      <c r="J85" s="74"/>
      <c r="K85" s="69" t="s">
        <v>158</v>
      </c>
      <c r="L85" s="69" t="s">
        <v>159</v>
      </c>
    </row>
    <row r="86" spans="1:12" x14ac:dyDescent="0.25">
      <c r="B86" s="69" t="s">
        <v>160</v>
      </c>
      <c r="C86" s="62">
        <f>M20</f>
        <v>4733.3333333333303</v>
      </c>
      <c r="D86" s="62">
        <f>M18</f>
        <v>1E-3</v>
      </c>
      <c r="E86" s="62">
        <f>M19</f>
        <v>1E-3</v>
      </c>
      <c r="F86" s="62">
        <f>M21</f>
        <v>4000</v>
      </c>
      <c r="G86" s="74"/>
      <c r="J86" s="76" t="s">
        <v>70</v>
      </c>
      <c r="K86" s="62">
        <f>(K38*E36+K39*F36)/SUM(K38,K39)</f>
        <v>147.7709923664122</v>
      </c>
      <c r="L86" s="62">
        <f>(K36*C36+K37*D36)/SUM(K36,K37)</f>
        <v>212.6</v>
      </c>
    </row>
    <row r="87" spans="1:12" x14ac:dyDescent="0.25">
      <c r="B87" s="69" t="s">
        <v>161</v>
      </c>
      <c r="C87" s="62">
        <f>C86*C57</f>
        <v>674230.44067796564</v>
      </c>
      <c r="D87" s="62">
        <f>D86*C55</f>
        <v>0.13219064935064936</v>
      </c>
      <c r="E87" s="62">
        <f>E86*C56</f>
        <v>0.2278430508474576</v>
      </c>
      <c r="F87" s="62">
        <f>F86*C58</f>
        <v>494056.66666666669</v>
      </c>
      <c r="G87" s="74"/>
      <c r="J87" s="76" t="s">
        <v>73</v>
      </c>
      <c r="K87" s="62">
        <f>(L38*E37+L39*F37)/SUM(L38,L39)</f>
        <v>90.97099236641219</v>
      </c>
      <c r="L87" s="62">
        <f>(L36*C37+L37*D37)/SUM(L36,L37)</f>
        <v>155.79999999999998</v>
      </c>
    </row>
    <row r="88" spans="1:12" x14ac:dyDescent="0.25">
      <c r="J88" s="76" t="s">
        <v>68</v>
      </c>
      <c r="K88" s="62">
        <f>(M38*E38+M39*F38)/SUM(M38,M39)</f>
        <v>183.97099236641219</v>
      </c>
      <c r="L88" s="62">
        <f>(M36*C38+M37*D38)/SUM(M36,M37)</f>
        <v>311.59999999999997</v>
      </c>
    </row>
    <row r="89" spans="1:12" x14ac:dyDescent="0.25">
      <c r="C89" s="62" t="s">
        <v>162</v>
      </c>
      <c r="J89" s="76" t="s">
        <v>96</v>
      </c>
      <c r="K89" s="62">
        <f>(N38*E39+N39*F39)/SUM(N38,N39)</f>
        <v>92.2</v>
      </c>
      <c r="L89" s="62">
        <f>(N36*C39+N37*D39)/SUM(N36,N37)</f>
        <v>155.79999999999998</v>
      </c>
    </row>
    <row r="90" spans="1:12" x14ac:dyDescent="0.25">
      <c r="B90" s="68" t="s">
        <v>163</v>
      </c>
      <c r="J90" s="68" t="s">
        <v>164</v>
      </c>
      <c r="K90" s="62"/>
      <c r="L90" s="62"/>
    </row>
    <row r="91" spans="1:12" ht="45.75" x14ac:dyDescent="0.25">
      <c r="C91" s="76" t="s">
        <v>165</v>
      </c>
      <c r="D91" s="76" t="s">
        <v>166</v>
      </c>
      <c r="E91" s="76" t="s">
        <v>167</v>
      </c>
      <c r="F91" s="76" t="s">
        <v>168</v>
      </c>
      <c r="G91" s="76" t="s">
        <v>169</v>
      </c>
      <c r="J91" s="76" t="s">
        <v>170</v>
      </c>
      <c r="K91" s="62">
        <f>SUMPRODUCT(C92:C95,J56:J59)</f>
        <v>1.9151321637529998E-5</v>
      </c>
      <c r="L91" s="62"/>
    </row>
    <row r="92" spans="1:12" ht="45.75" x14ac:dyDescent="0.25">
      <c r="B92" s="76" t="s">
        <v>70</v>
      </c>
      <c r="C92" s="62">
        <f>SUM($D$86:$E$86)/SUM($E$18:$E$21)*E18</f>
        <v>4.4067796610169488E-5</v>
      </c>
      <c r="D92" s="62" t="s">
        <v>171</v>
      </c>
      <c r="E92" s="62">
        <f>E18-C92</f>
        <v>259.99995593220336</v>
      </c>
      <c r="F92" s="62">
        <f>C92*L86</f>
        <v>9.3688135593220333E-3</v>
      </c>
      <c r="G92" s="62">
        <f>E92*K86</f>
        <v>38420.45150332513</v>
      </c>
      <c r="J92" s="76" t="s">
        <v>172</v>
      </c>
      <c r="K92" s="62">
        <f>K61-K91</f>
        <v>112.99277851010537</v>
      </c>
      <c r="L92" s="62"/>
    </row>
    <row r="93" spans="1:12" ht="45.75" x14ac:dyDescent="0.25">
      <c r="B93" s="76" t="s">
        <v>73</v>
      </c>
      <c r="C93" s="62">
        <f>SUM($D$86:$E$86)/SUM($E$18:$E$21)*E19</f>
        <v>7.457627118644068E-5</v>
      </c>
      <c r="D93" s="62" t="s">
        <v>171</v>
      </c>
      <c r="E93" s="62">
        <f>E19-C93</f>
        <v>439.99992542372883</v>
      </c>
      <c r="F93" s="62">
        <f>C93*L87</f>
        <v>1.1618983050847456E-2</v>
      </c>
      <c r="G93" s="62">
        <f>E93*K87</f>
        <v>40027.229856943966</v>
      </c>
      <c r="J93" s="76" t="s">
        <v>173</v>
      </c>
      <c r="K93" s="62">
        <f>D86*J67+E86*J68</f>
        <v>4.7080332358927919E-5</v>
      </c>
      <c r="L93" s="62"/>
    </row>
    <row r="94" spans="1:12" ht="45.75" x14ac:dyDescent="0.25">
      <c r="B94" s="76" t="s">
        <v>68</v>
      </c>
      <c r="C94" s="62">
        <f>SUM($D$86:$E$86)/SUM($E$18:$E$21)*E20</f>
        <v>6.9491525423728807E-4</v>
      </c>
      <c r="D94" s="62" t="s">
        <v>171</v>
      </c>
      <c r="E94" s="62">
        <f>E20-C94</f>
        <v>4099.9993050847461</v>
      </c>
      <c r="F94" s="62">
        <f>C94*L88</f>
        <v>0.21653559322033894</v>
      </c>
      <c r="G94" s="62">
        <f>E94*K88</f>
        <v>754280.94085804105</v>
      </c>
      <c r="J94" s="76" t="s">
        <v>174</v>
      </c>
      <c r="K94" s="62">
        <f>K72-K93</f>
        <v>111.42345324946267</v>
      </c>
      <c r="L94" s="62"/>
    </row>
    <row r="95" spans="1:12" ht="23.25" x14ac:dyDescent="0.25">
      <c r="B95" s="76" t="s">
        <v>96</v>
      </c>
      <c r="C95" s="62">
        <f>SUM($D$86:$E$86)/SUM($E$18:$E$21)*E21</f>
        <v>1.1864406779661016E-3</v>
      </c>
      <c r="D95" s="62" t="s">
        <v>171</v>
      </c>
      <c r="E95" s="62">
        <f>E21-C95</f>
        <v>6999.9988135593221</v>
      </c>
      <c r="F95" s="62">
        <f>C95*L89</f>
        <v>0.18484745762711863</v>
      </c>
      <c r="G95" s="62">
        <f>E95*K89</f>
        <v>645399.8906101695</v>
      </c>
      <c r="H95" s="69"/>
      <c r="J95" s="76" t="s">
        <v>175</v>
      </c>
      <c r="K95" s="62">
        <f>K92+K94</f>
        <v>224.41623175956803</v>
      </c>
      <c r="L95" s="62"/>
    </row>
    <row r="96" spans="1:12" ht="23.25" x14ac:dyDescent="0.25">
      <c r="B96" s="76"/>
      <c r="C96" s="62"/>
      <c r="D96" s="62"/>
      <c r="E96" s="62"/>
      <c r="F96" s="62"/>
      <c r="G96" s="62"/>
      <c r="J96" s="76" t="s">
        <v>176</v>
      </c>
      <c r="K96" s="62">
        <f>K91+K93</f>
        <v>6.623165399645791E-5</v>
      </c>
      <c r="L96" s="62"/>
    </row>
    <row r="97" spans="2:12" x14ac:dyDescent="0.25">
      <c r="B97" s="76" t="s">
        <v>177</v>
      </c>
      <c r="C97" s="62">
        <f>SUM(C92:C95)</f>
        <v>2E-3</v>
      </c>
      <c r="D97" s="62"/>
      <c r="E97" s="62">
        <f>SUM(E92:E95)</f>
        <v>11799.998</v>
      </c>
      <c r="F97" s="62">
        <f>SUM(F92:F95)</f>
        <v>0.42237084745762704</v>
      </c>
      <c r="G97" s="62">
        <f>SUM(G92:G95)</f>
        <v>1478128.5128284795</v>
      </c>
    </row>
    <row r="98" spans="2:12" x14ac:dyDescent="0.25">
      <c r="B98" s="76"/>
      <c r="C98" s="62"/>
      <c r="D98" s="62"/>
      <c r="E98" s="62"/>
      <c r="F98" s="62"/>
      <c r="G98" s="62"/>
    </row>
    <row r="99" spans="2:12" ht="23.25" x14ac:dyDescent="0.25">
      <c r="B99" s="76" t="s">
        <v>178</v>
      </c>
      <c r="C99" s="62">
        <f>SUM(D86:E86)</f>
        <v>2E-3</v>
      </c>
      <c r="D99" s="62"/>
      <c r="E99" s="62"/>
      <c r="F99" s="62"/>
      <c r="G99" s="62"/>
    </row>
    <row r="100" spans="2:12" x14ac:dyDescent="0.25">
      <c r="B100" s="76"/>
    </row>
    <row r="101" spans="2:12" x14ac:dyDescent="0.25">
      <c r="B101" s="76"/>
    </row>
    <row r="102" spans="2:12" x14ac:dyDescent="0.25">
      <c r="B102" s="68" t="s">
        <v>179</v>
      </c>
      <c r="J102" s="68" t="s">
        <v>180</v>
      </c>
    </row>
    <row r="103" spans="2:12" ht="34.5" x14ac:dyDescent="0.25">
      <c r="B103" s="76" t="s">
        <v>169</v>
      </c>
      <c r="C103" s="78"/>
      <c r="D103" s="62">
        <f>G97</f>
        <v>1478128.5128284795</v>
      </c>
      <c r="E103" s="62"/>
      <c r="J103" s="79" t="s">
        <v>181</v>
      </c>
      <c r="K103" s="80"/>
      <c r="L103" s="81"/>
    </row>
    <row r="104" spans="2:12" ht="34.5" x14ac:dyDescent="0.25">
      <c r="B104" s="76" t="s">
        <v>182</v>
      </c>
      <c r="C104" s="78"/>
      <c r="D104" s="62">
        <f>C87+F87</f>
        <v>1168287.1073446323</v>
      </c>
      <c r="E104" s="62"/>
      <c r="J104" s="82" t="s">
        <v>183</v>
      </c>
      <c r="K104" s="83">
        <f>K95*10^6/D105</f>
        <v>84.800070725432064</v>
      </c>
      <c r="L104" s="84" t="s">
        <v>184</v>
      </c>
    </row>
    <row r="105" spans="2:12" ht="23.25" x14ac:dyDescent="0.25">
      <c r="B105" s="76" t="s">
        <v>185</v>
      </c>
      <c r="C105" s="78"/>
      <c r="D105" s="62">
        <f>SUM(D103:D104)</f>
        <v>2646415.6201731116</v>
      </c>
      <c r="E105" s="62"/>
      <c r="J105" s="82" t="s">
        <v>186</v>
      </c>
      <c r="K105" s="83">
        <f>K96*10^6/D108</f>
        <v>84.651417473100523</v>
      </c>
      <c r="L105" s="84" t="s">
        <v>187</v>
      </c>
    </row>
    <row r="106" spans="2:12" ht="34.5" x14ac:dyDescent="0.25">
      <c r="B106" s="76" t="s">
        <v>188</v>
      </c>
      <c r="C106" s="78"/>
      <c r="D106" s="62">
        <f>F97</f>
        <v>0.42237084745762704</v>
      </c>
      <c r="E106" s="62"/>
      <c r="J106" s="82" t="s">
        <v>189</v>
      </c>
      <c r="K106" s="85">
        <f>2*(ABS(K104-K105))/(K104+K105)</f>
        <v>1.754522830243625E-3</v>
      </c>
      <c r="L106" s="84" t="s">
        <v>190</v>
      </c>
    </row>
    <row r="107" spans="2:12" ht="34.5" x14ac:dyDescent="0.25">
      <c r="B107" s="76" t="s">
        <v>191</v>
      </c>
      <c r="C107" s="78"/>
      <c r="D107" s="62">
        <f>SUM(D87:E87)</f>
        <v>0.36003370019810699</v>
      </c>
      <c r="E107" s="62"/>
    </row>
    <row r="108" spans="2:12" ht="34.5" x14ac:dyDescent="0.25">
      <c r="B108" s="76" t="s">
        <v>192</v>
      </c>
      <c r="C108" s="78"/>
      <c r="D108" s="62">
        <f>SUM(D106:D107)</f>
        <v>0.78240454765573397</v>
      </c>
      <c r="E108" s="62"/>
    </row>
    <row r="109" spans="2:12" x14ac:dyDescent="0.25">
      <c r="D109" s="62"/>
      <c r="E109" s="62"/>
    </row>
    <row r="110" spans="2:12" x14ac:dyDescent="0.25">
      <c r="D110" s="62"/>
      <c r="E110" s="62"/>
    </row>
    <row r="115" spans="5:5" x14ac:dyDescent="0.25">
      <c r="E115" s="62"/>
    </row>
  </sheetData>
  <conditionalFormatting sqref="K106">
    <cfRule type="cellIs" dxfId="45" priority="1" operator="lessThan">
      <formula>0.1</formula>
    </cfRule>
    <cfRule type="cellIs" dxfId="44" priority="2" operator="greaterThan">
      <formula>0.1</formula>
    </cfRule>
  </conditionalFormatting>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AC115"/>
  <sheetViews>
    <sheetView showGridLines="0" topLeftCell="A85" workbookViewId="0">
      <selection activeCell="L89" sqref="L89"/>
    </sheetView>
  </sheetViews>
  <sheetFormatPr defaultColWidth="9.140625" defaultRowHeight="15" x14ac:dyDescent="0.25"/>
  <cols>
    <col min="1" max="1" width="9.140625" style="53"/>
    <col min="2" max="2" width="21" style="53" customWidth="1"/>
    <col min="3" max="3" width="19.5703125" style="53" customWidth="1"/>
    <col min="4" max="4" width="15.5703125" style="53" customWidth="1"/>
    <col min="5" max="5" width="12.5703125" style="53" customWidth="1"/>
    <col min="6" max="6" width="13.140625" style="53" customWidth="1"/>
    <col min="7" max="8" width="10" style="53" bestFit="1" customWidth="1"/>
    <col min="9" max="9" width="21.5703125" style="53" customWidth="1"/>
    <col min="10" max="10" width="22.42578125" style="53" customWidth="1"/>
    <col min="11" max="11" width="12.140625" style="53" bestFit="1" customWidth="1"/>
    <col min="12" max="12" width="21.42578125" style="53" customWidth="1"/>
    <col min="13" max="13" width="17.140625" style="53" customWidth="1"/>
    <col min="14" max="14" width="12.140625" style="53" bestFit="1" customWidth="1"/>
    <col min="15" max="15" width="9.5703125" style="53" bestFit="1" customWidth="1"/>
    <col min="16" max="16" width="22.5703125" style="53" customWidth="1"/>
    <col min="17" max="17" width="10.5703125" style="53" customWidth="1"/>
    <col min="18" max="18" width="9.140625" style="53"/>
    <col min="19" max="19" width="11" style="53" bestFit="1" customWidth="1"/>
    <col min="20" max="16384" width="9.140625" style="53"/>
  </cols>
  <sheetData>
    <row r="1" spans="1:20" x14ac:dyDescent="0.25">
      <c r="A1" s="53" t="s">
        <v>86</v>
      </c>
      <c r="F1" s="60"/>
      <c r="G1" s="60"/>
      <c r="H1" s="60"/>
      <c r="I1" s="60"/>
      <c r="J1" s="60"/>
      <c r="K1" s="60"/>
      <c r="L1" s="60"/>
      <c r="M1" s="60"/>
      <c r="N1" s="60"/>
      <c r="O1" s="60"/>
    </row>
    <row r="2" spans="1:20" ht="15.75" x14ac:dyDescent="0.25">
      <c r="A2" s="54" t="s">
        <v>87</v>
      </c>
      <c r="F2" s="60"/>
      <c r="G2" s="60"/>
      <c r="H2" s="60"/>
      <c r="I2" s="60"/>
      <c r="J2" s="60"/>
      <c r="K2" s="60"/>
      <c r="L2" s="60"/>
      <c r="M2" s="60"/>
      <c r="N2" s="60"/>
      <c r="O2" s="60"/>
    </row>
    <row r="3" spans="1:20" x14ac:dyDescent="0.25">
      <c r="A3" s="55" t="s">
        <v>88</v>
      </c>
      <c r="F3" s="60"/>
      <c r="G3" s="60"/>
      <c r="H3" s="60"/>
      <c r="I3" s="60"/>
      <c r="J3" s="60"/>
      <c r="K3" s="60"/>
      <c r="L3" s="60"/>
      <c r="M3" s="60"/>
      <c r="N3" s="60"/>
      <c r="O3" s="60"/>
    </row>
    <row r="4" spans="1:20" x14ac:dyDescent="0.25">
      <c r="B4" s="56"/>
      <c r="C4" s="56"/>
      <c r="D4" s="56"/>
      <c r="E4" s="56"/>
      <c r="F4" s="86"/>
      <c r="G4" s="60"/>
      <c r="H4" s="60"/>
      <c r="I4" s="60"/>
      <c r="J4" s="60"/>
      <c r="K4" s="60"/>
      <c r="L4" s="60"/>
      <c r="M4" s="60"/>
      <c r="N4" s="60"/>
      <c r="O4" s="60"/>
    </row>
    <row r="5" spans="1:20" x14ac:dyDescent="0.25">
      <c r="A5" s="57" t="s">
        <v>89</v>
      </c>
      <c r="B5" s="55"/>
      <c r="C5" s="55"/>
      <c r="D5" s="55"/>
      <c r="E5" s="55"/>
      <c r="F5" s="87"/>
      <c r="G5" s="87"/>
      <c r="H5" s="87"/>
      <c r="I5" s="60"/>
      <c r="J5" s="60"/>
      <c r="K5" s="60"/>
      <c r="L5" s="60"/>
      <c r="M5" s="60"/>
      <c r="N5" s="60"/>
      <c r="O5" s="60"/>
    </row>
    <row r="6" spans="1:20" x14ac:dyDescent="0.25">
      <c r="F6" s="60"/>
      <c r="G6" s="60"/>
      <c r="H6" s="60"/>
      <c r="I6" s="60"/>
      <c r="J6" s="60"/>
      <c r="K6" s="60"/>
      <c r="L6" s="60"/>
      <c r="M6" s="60"/>
      <c r="N6" s="60"/>
      <c r="O6" s="60"/>
    </row>
    <row r="7" spans="1:20" x14ac:dyDescent="0.25">
      <c r="F7" s="60"/>
      <c r="G7" s="60"/>
      <c r="H7" s="60"/>
      <c r="I7" s="60"/>
      <c r="J7" s="60"/>
      <c r="K7" s="60"/>
      <c r="L7" s="60"/>
      <c r="M7" s="60"/>
      <c r="N7" s="60"/>
      <c r="O7" s="60"/>
    </row>
    <row r="8" spans="1:20" x14ac:dyDescent="0.25">
      <c r="F8" s="60"/>
      <c r="G8" s="60"/>
      <c r="H8" s="60"/>
      <c r="I8" s="60"/>
      <c r="J8" s="60"/>
      <c r="K8" s="60"/>
      <c r="L8" s="60"/>
      <c r="M8" s="60"/>
      <c r="N8" s="60"/>
      <c r="O8" s="60"/>
    </row>
    <row r="9" spans="1:20" x14ac:dyDescent="0.25">
      <c r="F9" s="60"/>
      <c r="G9" s="60"/>
      <c r="H9" s="60"/>
      <c r="I9" s="60"/>
      <c r="J9" s="60"/>
      <c r="K9" s="60"/>
      <c r="L9" s="60"/>
      <c r="M9" s="60"/>
      <c r="N9" s="60"/>
      <c r="O9" s="60"/>
    </row>
    <row r="10" spans="1:20" x14ac:dyDescent="0.25">
      <c r="F10" s="60"/>
      <c r="G10" s="60"/>
      <c r="H10" s="60"/>
      <c r="I10" s="60"/>
      <c r="J10" s="60"/>
      <c r="K10" s="60"/>
      <c r="L10" s="60"/>
      <c r="M10" s="60"/>
      <c r="N10" s="60"/>
      <c r="O10" s="60"/>
    </row>
    <row r="14" spans="1:20" ht="18.75" x14ac:dyDescent="0.3">
      <c r="A14" s="120" t="s">
        <v>90</v>
      </c>
      <c r="B14" s="60"/>
      <c r="C14" s="60"/>
      <c r="D14" s="60"/>
      <c r="E14" s="60"/>
      <c r="F14" s="60"/>
      <c r="G14" s="60"/>
      <c r="H14" s="60"/>
      <c r="I14" s="60"/>
      <c r="J14" s="60"/>
      <c r="K14" s="60"/>
      <c r="L14" s="60"/>
      <c r="M14" s="60"/>
      <c r="N14" s="60"/>
      <c r="O14" s="60"/>
      <c r="R14" s="62"/>
      <c r="T14" s="62"/>
    </row>
    <row r="15" spans="1:20" x14ac:dyDescent="0.25">
      <c r="A15" s="60"/>
      <c r="B15" s="60"/>
      <c r="C15" s="60"/>
      <c r="D15" s="60"/>
      <c r="E15" s="60"/>
      <c r="F15" s="60"/>
      <c r="G15" s="60"/>
      <c r="H15" s="60"/>
      <c r="I15" s="60"/>
      <c r="J15" s="60"/>
      <c r="K15" s="60"/>
      <c r="L15" s="60"/>
      <c r="M15" s="60"/>
      <c r="N15" s="60"/>
      <c r="O15" s="60"/>
      <c r="R15" s="62"/>
      <c r="T15" s="62"/>
    </row>
    <row r="16" spans="1:20" x14ac:dyDescent="0.25">
      <c r="A16" s="60"/>
      <c r="B16" s="59" t="s">
        <v>91</v>
      </c>
      <c r="C16" s="60"/>
      <c r="D16" s="60"/>
      <c r="E16" s="60"/>
      <c r="F16" s="60"/>
      <c r="G16" s="60"/>
      <c r="H16" s="60"/>
      <c r="I16" s="60"/>
      <c r="J16" s="60"/>
      <c r="K16" s="60"/>
      <c r="L16" s="60"/>
      <c r="M16" s="60"/>
      <c r="N16" s="60"/>
      <c r="O16" s="60"/>
      <c r="R16" s="62"/>
      <c r="T16" s="62"/>
    </row>
    <row r="17" spans="1:29" x14ac:dyDescent="0.25">
      <c r="A17" s="60"/>
      <c r="B17" s="59" t="s">
        <v>26</v>
      </c>
      <c r="C17" s="61" t="s">
        <v>92</v>
      </c>
      <c r="D17" s="61" t="s">
        <v>93</v>
      </c>
      <c r="E17" s="61" t="s">
        <v>94</v>
      </c>
      <c r="F17" s="61"/>
      <c r="G17" s="60"/>
      <c r="H17" s="60"/>
      <c r="I17" s="60"/>
      <c r="J17" s="59" t="s">
        <v>8</v>
      </c>
      <c r="K17" s="61" t="s">
        <v>92</v>
      </c>
      <c r="L17" s="61" t="s">
        <v>93</v>
      </c>
      <c r="M17" s="61" t="s">
        <v>94</v>
      </c>
      <c r="N17" s="61"/>
      <c r="O17" s="60"/>
      <c r="R17" s="62"/>
      <c r="T17" s="62"/>
    </row>
    <row r="18" spans="1:29" x14ac:dyDescent="0.25">
      <c r="A18" s="64" t="s">
        <v>95</v>
      </c>
      <c r="B18" s="61" t="s">
        <v>70</v>
      </c>
      <c r="C18" s="61">
        <v>0</v>
      </c>
      <c r="D18" s="61">
        <v>93</v>
      </c>
      <c r="E18" s="61">
        <f>'Forecasted Capacities'!B16*10^(-3)</f>
        <v>260</v>
      </c>
      <c r="F18" s="61"/>
      <c r="G18" s="60"/>
      <c r="H18" s="60"/>
      <c r="I18" s="60"/>
      <c r="J18" s="61" t="s">
        <v>68</v>
      </c>
      <c r="K18" s="61">
        <v>56.8</v>
      </c>
      <c r="L18" s="61">
        <v>0</v>
      </c>
      <c r="M18" s="61">
        <f>'Forecasted Capacities'!B13*10^(-3)</f>
        <v>1E-3</v>
      </c>
      <c r="N18" s="64" t="s">
        <v>200</v>
      </c>
      <c r="O18" s="60"/>
      <c r="R18" s="62"/>
      <c r="T18" s="62"/>
      <c r="V18" s="62"/>
      <c r="W18" s="62"/>
      <c r="X18" s="62"/>
      <c r="Y18" s="62"/>
      <c r="Z18" s="62"/>
      <c r="AA18" s="62"/>
      <c r="AB18" s="62"/>
      <c r="AC18" s="62"/>
    </row>
    <row r="19" spans="1:29" x14ac:dyDescent="0.25">
      <c r="A19" s="60"/>
      <c r="B19" s="61" t="s">
        <v>73</v>
      </c>
      <c r="C19" s="61">
        <v>56.8</v>
      </c>
      <c r="D19" s="61">
        <v>93</v>
      </c>
      <c r="E19" s="61">
        <f>'Forecasted Capacities'!B18*10^(-3)</f>
        <v>440</v>
      </c>
      <c r="F19" s="61"/>
      <c r="G19" s="60"/>
      <c r="H19" s="60"/>
      <c r="I19" s="60"/>
      <c r="J19" s="61" t="s">
        <v>66</v>
      </c>
      <c r="K19" s="61">
        <v>275.39999999999998</v>
      </c>
      <c r="L19" s="61">
        <v>93</v>
      </c>
      <c r="M19" s="61">
        <f>'Forecasted Capacities'!B12*10^(-3)</f>
        <v>1E-3</v>
      </c>
      <c r="N19" s="61"/>
      <c r="O19" s="60"/>
      <c r="V19" s="62"/>
      <c r="X19" s="63"/>
      <c r="Y19" s="63"/>
      <c r="Z19" s="63"/>
      <c r="AA19" s="63"/>
      <c r="AB19" s="63"/>
      <c r="AC19" s="63"/>
    </row>
    <row r="20" spans="1:29" x14ac:dyDescent="0.25">
      <c r="A20" s="60"/>
      <c r="B20" s="61" t="s">
        <v>68</v>
      </c>
      <c r="C20" s="61">
        <v>56.8</v>
      </c>
      <c r="D20" s="61">
        <v>0</v>
      </c>
      <c r="E20" s="61">
        <f>'Forecasted Capacities'!B17*10^(-3)</f>
        <v>4100</v>
      </c>
      <c r="F20" s="61"/>
      <c r="G20" s="60"/>
      <c r="H20" s="60"/>
      <c r="I20" s="60"/>
      <c r="J20" s="61" t="s">
        <v>64</v>
      </c>
      <c r="K20" s="61">
        <v>190</v>
      </c>
      <c r="L20" s="61">
        <v>93</v>
      </c>
      <c r="M20" s="61">
        <f>'Forecasted Capacities'!B11*10^(-3)</f>
        <v>4733.3333333333303</v>
      </c>
      <c r="N20" s="61"/>
      <c r="O20" s="60"/>
      <c r="V20" s="62"/>
      <c r="W20" s="62"/>
      <c r="X20" s="62"/>
      <c r="Y20" s="62"/>
      <c r="Z20" s="62"/>
      <c r="AA20" s="62"/>
      <c r="AB20" s="62"/>
      <c r="AC20" s="62"/>
    </row>
    <row r="21" spans="1:29" x14ac:dyDescent="0.25">
      <c r="A21" s="60"/>
      <c r="B21" s="61" t="s">
        <v>96</v>
      </c>
      <c r="C21" s="61">
        <v>97.8</v>
      </c>
      <c r="D21" s="61">
        <v>93</v>
      </c>
      <c r="E21" s="61">
        <f>'Forecasted Capacities'!B22*10^(-3)</f>
        <v>7000</v>
      </c>
      <c r="F21" s="61"/>
      <c r="G21" s="60"/>
      <c r="H21" s="60"/>
      <c r="I21" s="60"/>
      <c r="J21" s="61" t="s">
        <v>96</v>
      </c>
      <c r="K21" s="61">
        <v>97.8</v>
      </c>
      <c r="L21" s="61">
        <v>93</v>
      </c>
      <c r="M21" s="61">
        <f>'Forecasted Capacities'!B21*10^(-3)</f>
        <v>4000</v>
      </c>
      <c r="N21" s="61"/>
      <c r="O21" s="60"/>
      <c r="V21" s="62"/>
      <c r="W21" s="62"/>
      <c r="X21" s="62"/>
      <c r="Y21" s="62"/>
      <c r="Z21" s="62"/>
      <c r="AA21" s="62"/>
      <c r="AB21" s="62"/>
      <c r="AC21" s="62"/>
    </row>
    <row r="22" spans="1:29" x14ac:dyDescent="0.25">
      <c r="A22" s="60"/>
      <c r="B22" s="60"/>
      <c r="C22" s="60"/>
      <c r="D22" s="60"/>
      <c r="E22" s="65">
        <f>SUM(E18:E21)</f>
        <v>11800</v>
      </c>
      <c r="F22" s="60"/>
      <c r="G22" s="60"/>
      <c r="H22" s="60"/>
      <c r="I22" s="60"/>
      <c r="J22" s="60"/>
      <c r="K22" s="60"/>
      <c r="L22" s="60"/>
      <c r="M22" s="65">
        <f>SUM(M18:M21)</f>
        <v>8733.3353333333307</v>
      </c>
      <c r="N22" s="60"/>
      <c r="O22" s="60"/>
      <c r="V22" s="62"/>
      <c r="W22" s="62"/>
      <c r="X22" s="62"/>
      <c r="Y22" s="62"/>
      <c r="Z22" s="62"/>
      <c r="AA22" s="62"/>
      <c r="AB22" s="62"/>
      <c r="AC22" s="62"/>
    </row>
    <row r="23" spans="1:29" x14ac:dyDescent="0.25">
      <c r="A23" s="60"/>
      <c r="B23" s="60"/>
      <c r="C23" s="60"/>
      <c r="D23" s="60"/>
      <c r="E23" s="60"/>
      <c r="F23" s="60"/>
      <c r="G23" s="60"/>
      <c r="H23" s="60"/>
      <c r="I23" s="60"/>
      <c r="J23" s="60"/>
      <c r="K23" s="60"/>
      <c r="L23" s="60"/>
      <c r="M23" s="60"/>
      <c r="N23" s="60"/>
      <c r="O23" s="60"/>
    </row>
    <row r="24" spans="1:29" x14ac:dyDescent="0.25">
      <c r="A24" s="60"/>
      <c r="B24" s="59" t="s">
        <v>97</v>
      </c>
      <c r="C24" s="60"/>
      <c r="D24" s="60"/>
      <c r="E24" s="60"/>
      <c r="F24" s="60"/>
      <c r="G24" s="60"/>
      <c r="H24" s="60"/>
      <c r="I24" s="60"/>
      <c r="J24" s="60"/>
      <c r="K24" s="60"/>
      <c r="L24" s="60"/>
      <c r="M24" s="60"/>
      <c r="N24" s="60"/>
      <c r="O24" s="60"/>
    </row>
    <row r="25" spans="1:29" ht="15.75" x14ac:dyDescent="0.25">
      <c r="A25" s="60"/>
      <c r="B25" s="66"/>
      <c r="C25" s="61" t="s">
        <v>98</v>
      </c>
      <c r="D25" s="60"/>
      <c r="E25" s="61">
        <f>'5. Current tariff method 20'!B13+'5. Current tariff method 20'!B14</f>
        <v>320.59471141603149</v>
      </c>
      <c r="F25" s="60"/>
      <c r="G25" s="60"/>
      <c r="H25" s="60"/>
      <c r="I25" s="60"/>
      <c r="J25" s="60"/>
      <c r="K25" s="60"/>
      <c r="L25" s="60"/>
      <c r="M25" s="60"/>
      <c r="N25" s="60"/>
      <c r="O25" s="60"/>
    </row>
    <row r="26" spans="1:29" x14ac:dyDescent="0.25">
      <c r="A26" s="64" t="s">
        <v>99</v>
      </c>
      <c r="B26" s="60"/>
      <c r="C26" s="61" t="s">
        <v>100</v>
      </c>
      <c r="D26" s="60"/>
      <c r="E26" s="61">
        <f>'5. Current tariff method 20'!B14</f>
        <v>224.41629799122202</v>
      </c>
      <c r="F26" s="60"/>
      <c r="G26" s="60"/>
      <c r="H26" s="60"/>
      <c r="I26" s="60"/>
      <c r="J26" s="60"/>
      <c r="K26" s="60"/>
      <c r="L26" s="60"/>
      <c r="M26" s="60"/>
      <c r="N26" s="60"/>
      <c r="O26" s="60"/>
    </row>
    <row r="27" spans="1:29" x14ac:dyDescent="0.25">
      <c r="A27" s="64" t="s">
        <v>101</v>
      </c>
      <c r="B27" s="60"/>
      <c r="C27" s="61" t="s">
        <v>102</v>
      </c>
      <c r="D27" s="61"/>
      <c r="E27" s="61">
        <v>0.5</v>
      </c>
      <c r="F27" s="60"/>
      <c r="G27" s="60"/>
      <c r="H27" s="60"/>
      <c r="I27" s="60"/>
      <c r="J27" s="60"/>
      <c r="K27" s="60"/>
      <c r="L27" s="60"/>
      <c r="M27" s="60"/>
      <c r="N27" s="60"/>
      <c r="O27" s="60"/>
    </row>
    <row r="28" spans="1:29" x14ac:dyDescent="0.25">
      <c r="A28" s="64" t="s">
        <v>101</v>
      </c>
      <c r="B28" s="60"/>
      <c r="C28" s="61" t="s">
        <v>103</v>
      </c>
      <c r="D28" s="61"/>
      <c r="E28" s="61">
        <f>E26*E27</f>
        <v>112.20814899561101</v>
      </c>
      <c r="F28" s="60"/>
      <c r="G28" s="60"/>
      <c r="H28" s="60"/>
      <c r="I28" s="60"/>
      <c r="J28" s="60"/>
      <c r="K28" s="60"/>
      <c r="L28" s="60"/>
      <c r="M28" s="60"/>
      <c r="N28" s="60"/>
      <c r="O28" s="60"/>
    </row>
    <row r="29" spans="1:29" x14ac:dyDescent="0.25">
      <c r="A29" s="60"/>
      <c r="B29" s="60"/>
      <c r="C29" s="61" t="s">
        <v>104</v>
      </c>
      <c r="D29" s="61"/>
      <c r="E29" s="61">
        <f>E26*(1-E27)</f>
        <v>112.20814899561101</v>
      </c>
      <c r="F29" s="60"/>
      <c r="G29" s="60"/>
      <c r="H29" s="60"/>
      <c r="I29" s="60"/>
      <c r="J29" s="60"/>
      <c r="K29" s="60"/>
      <c r="L29" s="60"/>
      <c r="M29" s="60"/>
      <c r="N29" s="60"/>
      <c r="O29" s="60"/>
    </row>
    <row r="30" spans="1:29" x14ac:dyDescent="0.25">
      <c r="A30" s="60"/>
      <c r="B30" s="60"/>
      <c r="C30" s="61" t="s">
        <v>105</v>
      </c>
      <c r="D30" s="60"/>
      <c r="E30" s="61">
        <f>'5. Current tariff method 20'!B13</f>
        <v>96.178413424809463</v>
      </c>
      <c r="F30" s="60"/>
      <c r="G30" s="60"/>
      <c r="H30" s="60"/>
      <c r="I30" s="60"/>
      <c r="J30" s="60"/>
      <c r="K30" s="60"/>
      <c r="L30" s="60"/>
      <c r="M30" s="60"/>
      <c r="N30" s="60"/>
      <c r="O30" s="60"/>
    </row>
    <row r="31" spans="1:29" x14ac:dyDescent="0.25">
      <c r="A31" s="60"/>
      <c r="B31" s="60"/>
      <c r="C31" s="60"/>
      <c r="D31" s="60"/>
      <c r="E31" s="60"/>
      <c r="F31" s="60"/>
      <c r="G31" s="60"/>
      <c r="H31" s="60"/>
      <c r="I31" s="60"/>
      <c r="J31" s="60"/>
      <c r="K31" s="60"/>
      <c r="L31" s="60"/>
      <c r="M31" s="60"/>
      <c r="N31" s="60"/>
      <c r="O31" s="60"/>
    </row>
    <row r="32" spans="1:29" x14ac:dyDescent="0.25">
      <c r="A32" s="60"/>
      <c r="B32" s="60"/>
      <c r="C32" s="60"/>
      <c r="D32" s="60"/>
      <c r="E32" s="60"/>
      <c r="F32" s="60"/>
      <c r="G32" s="60"/>
      <c r="H32" s="60"/>
      <c r="I32" s="60"/>
      <c r="J32" s="60"/>
      <c r="K32" s="121"/>
      <c r="L32" s="121"/>
      <c r="M32" s="60"/>
      <c r="N32" s="60"/>
      <c r="O32" s="60"/>
    </row>
    <row r="33" spans="1:22" x14ac:dyDescent="0.25">
      <c r="A33" s="60"/>
      <c r="B33" s="93" t="s">
        <v>106</v>
      </c>
      <c r="C33" s="60"/>
      <c r="D33" s="60"/>
      <c r="E33" s="60"/>
      <c r="F33" s="60"/>
      <c r="G33" s="60"/>
      <c r="H33" s="60"/>
      <c r="I33" s="60"/>
      <c r="J33" s="93" t="s">
        <v>107</v>
      </c>
      <c r="K33" s="60"/>
      <c r="L33" s="60"/>
      <c r="M33" s="60"/>
      <c r="N33" s="60"/>
      <c r="O33" s="60"/>
    </row>
    <row r="34" spans="1:22" x14ac:dyDescent="0.25">
      <c r="A34" s="60"/>
      <c r="B34" s="59" t="s">
        <v>108</v>
      </c>
      <c r="C34" s="59" t="s">
        <v>8</v>
      </c>
      <c r="D34" s="60"/>
      <c r="E34" s="60"/>
      <c r="F34" s="60"/>
      <c r="G34" s="60"/>
      <c r="H34" s="60"/>
      <c r="I34" s="60"/>
      <c r="J34" s="59" t="s">
        <v>109</v>
      </c>
      <c r="K34" s="61" t="s">
        <v>26</v>
      </c>
      <c r="L34" s="60"/>
      <c r="M34" s="60"/>
      <c r="N34" s="60"/>
      <c r="O34" s="60"/>
    </row>
    <row r="35" spans="1:22" x14ac:dyDescent="0.25">
      <c r="A35" s="60"/>
      <c r="B35" s="59" t="s">
        <v>26</v>
      </c>
      <c r="C35" s="61" t="s">
        <v>68</v>
      </c>
      <c r="D35" s="61" t="s">
        <v>66</v>
      </c>
      <c r="E35" s="61" t="s">
        <v>64</v>
      </c>
      <c r="F35" s="61" t="s">
        <v>96</v>
      </c>
      <c r="G35" s="60"/>
      <c r="H35" s="60"/>
      <c r="I35" s="60"/>
      <c r="J35" s="61" t="s">
        <v>8</v>
      </c>
      <c r="K35" s="61" t="s">
        <v>70</v>
      </c>
      <c r="L35" s="61" t="s">
        <v>73</v>
      </c>
      <c r="M35" s="61" t="s">
        <v>68</v>
      </c>
      <c r="N35" s="61" t="s">
        <v>96</v>
      </c>
      <c r="O35" s="60"/>
    </row>
    <row r="36" spans="1:22" x14ac:dyDescent="0.25">
      <c r="A36" s="60"/>
      <c r="B36" s="61" t="s">
        <v>70</v>
      </c>
      <c r="C36" s="61">
        <f>ABS(C20-C18)+ABS(D18-D20)</f>
        <v>149.80000000000001</v>
      </c>
      <c r="D36" s="61">
        <f>ABS(K19-C18)+ABS(L19-D18)</f>
        <v>275.39999999999998</v>
      </c>
      <c r="E36" s="61">
        <f>ABS(K20-C18)+ABS(L20-D18)</f>
        <v>190</v>
      </c>
      <c r="F36" s="61">
        <f>ABS(K21-C18)+ABS(L21-D18)</f>
        <v>97.8</v>
      </c>
      <c r="G36" s="60"/>
      <c r="H36" s="60"/>
      <c r="I36" s="60"/>
      <c r="J36" s="61" t="s">
        <v>68</v>
      </c>
      <c r="K36" s="61">
        <f t="shared" ref="K36:L39" si="0">$M18</f>
        <v>1E-3</v>
      </c>
      <c r="L36" s="61">
        <f t="shared" si="0"/>
        <v>1E-3</v>
      </c>
      <c r="M36" s="61">
        <v>0</v>
      </c>
      <c r="N36" s="61">
        <f>$M18</f>
        <v>1E-3</v>
      </c>
      <c r="O36" s="60"/>
    </row>
    <row r="37" spans="1:22" x14ac:dyDescent="0.25">
      <c r="A37" s="60"/>
      <c r="B37" s="61" t="s">
        <v>73</v>
      </c>
      <c r="C37" s="61">
        <f>ABS(C19-C20)+ABS(D19-D20)</f>
        <v>93</v>
      </c>
      <c r="D37" s="61">
        <f>ABS(K19-C19)+ABS(L19-D19)</f>
        <v>218.59999999999997</v>
      </c>
      <c r="E37" s="61">
        <f>ABS(K20-C19)+ABS(L20-D19)</f>
        <v>133.19999999999999</v>
      </c>
      <c r="F37" s="61">
        <f>ABS(K21-C19)+ABS(L21-D19)</f>
        <v>41</v>
      </c>
      <c r="G37" s="60"/>
      <c r="H37" s="60"/>
      <c r="I37" s="60"/>
      <c r="J37" s="61" t="s">
        <v>66</v>
      </c>
      <c r="K37" s="61">
        <f t="shared" si="0"/>
        <v>1E-3</v>
      </c>
      <c r="L37" s="61">
        <f t="shared" si="0"/>
        <v>1E-3</v>
      </c>
      <c r="M37" s="61">
        <f>$M19</f>
        <v>1E-3</v>
      </c>
      <c r="N37" s="61">
        <f>$M19</f>
        <v>1E-3</v>
      </c>
      <c r="O37" s="60"/>
    </row>
    <row r="38" spans="1:22" x14ac:dyDescent="0.25">
      <c r="A38" s="60"/>
      <c r="B38" s="61" t="s">
        <v>68</v>
      </c>
      <c r="C38" s="61">
        <v>0</v>
      </c>
      <c r="D38" s="61">
        <f>ABS(K19-K18)+ABS(L19-L18)</f>
        <v>311.59999999999997</v>
      </c>
      <c r="E38" s="61">
        <f>ABS(K20-K18)+ABS(L20-L18)</f>
        <v>226.2</v>
      </c>
      <c r="F38" s="61">
        <f>ABS(K21-K18)+ABS(L21-L18)</f>
        <v>134</v>
      </c>
      <c r="G38" s="60"/>
      <c r="H38" s="60"/>
      <c r="I38" s="60"/>
      <c r="J38" s="61" t="s">
        <v>64</v>
      </c>
      <c r="K38" s="61">
        <f t="shared" si="0"/>
        <v>4733.3333333333303</v>
      </c>
      <c r="L38" s="61">
        <f t="shared" si="0"/>
        <v>4733.3333333333303</v>
      </c>
      <c r="M38" s="61">
        <f>$M20</f>
        <v>4733.3333333333303</v>
      </c>
      <c r="N38" s="61">
        <f>$M20</f>
        <v>4733.3333333333303</v>
      </c>
      <c r="O38" s="60"/>
    </row>
    <row r="39" spans="1:22" x14ac:dyDescent="0.25">
      <c r="A39" s="60"/>
      <c r="B39" s="61" t="s">
        <v>96</v>
      </c>
      <c r="C39" s="61">
        <f>ABS(C21-C20)+ABS(D21-D20)</f>
        <v>134</v>
      </c>
      <c r="D39" s="61">
        <f>ABS(K19-K21)+ABS(L19-L21)</f>
        <v>177.59999999999997</v>
      </c>
      <c r="E39" s="61">
        <f>ABS(K20-K21)+ABS(L20-L21)</f>
        <v>92.2</v>
      </c>
      <c r="F39" s="61">
        <v>0</v>
      </c>
      <c r="G39" s="60"/>
      <c r="H39" s="60"/>
      <c r="I39" s="60"/>
      <c r="J39" s="61" t="s">
        <v>96</v>
      </c>
      <c r="K39" s="61">
        <f t="shared" si="0"/>
        <v>4000</v>
      </c>
      <c r="L39" s="61">
        <f t="shared" si="0"/>
        <v>4000</v>
      </c>
      <c r="M39" s="61">
        <f>$M21</f>
        <v>4000</v>
      </c>
      <c r="N39" s="61">
        <v>0</v>
      </c>
      <c r="O39" s="60"/>
    </row>
    <row r="40" spans="1:22" x14ac:dyDescent="0.25">
      <c r="A40" s="60"/>
      <c r="B40" s="60"/>
      <c r="C40" s="60"/>
      <c r="D40" s="60"/>
      <c r="E40" s="60"/>
      <c r="F40" s="60"/>
      <c r="G40" s="60"/>
      <c r="H40" s="60"/>
      <c r="I40" s="60"/>
      <c r="J40" s="61"/>
      <c r="K40" s="61"/>
      <c r="L40" s="61"/>
      <c r="M40" s="61"/>
      <c r="N40" s="61"/>
      <c r="O40" s="60"/>
    </row>
    <row r="41" spans="1:22" x14ac:dyDescent="0.25">
      <c r="A41" s="60"/>
      <c r="B41" s="60"/>
      <c r="C41" s="60"/>
      <c r="D41" s="60"/>
      <c r="E41" s="60"/>
      <c r="F41" s="60"/>
      <c r="G41" s="60"/>
      <c r="H41" s="60"/>
      <c r="I41" s="60"/>
      <c r="J41" s="122" t="s">
        <v>14</v>
      </c>
      <c r="K41" s="122">
        <f>SUM(K36:K39)</f>
        <v>8733.3353333333307</v>
      </c>
      <c r="L41" s="122">
        <f t="shared" ref="L41:N41" si="1">SUM(L36:L39)</f>
        <v>8733.3353333333307</v>
      </c>
      <c r="M41" s="122">
        <f t="shared" si="1"/>
        <v>8733.3343333333305</v>
      </c>
      <c r="N41" s="122">
        <f t="shared" si="1"/>
        <v>4733.3353333333307</v>
      </c>
      <c r="O41" s="60"/>
    </row>
    <row r="42" spans="1:22" x14ac:dyDescent="0.25">
      <c r="A42" s="60"/>
      <c r="B42" s="60"/>
      <c r="C42" s="60"/>
      <c r="D42" s="60"/>
      <c r="E42" s="60"/>
      <c r="F42" s="60"/>
      <c r="G42" s="60"/>
      <c r="H42" s="60"/>
      <c r="I42" s="60"/>
      <c r="J42" s="60"/>
      <c r="K42" s="60"/>
      <c r="L42" s="60"/>
      <c r="M42" s="60"/>
      <c r="N42" s="60"/>
    </row>
    <row r="43" spans="1:22" x14ac:dyDescent="0.25">
      <c r="A43" s="60"/>
      <c r="B43" s="93" t="s">
        <v>110</v>
      </c>
      <c r="C43" s="93"/>
      <c r="D43" s="93"/>
      <c r="E43" s="93" t="s">
        <v>111</v>
      </c>
      <c r="F43" s="93"/>
      <c r="G43" s="93"/>
      <c r="H43" s="93"/>
      <c r="I43" s="93"/>
      <c r="J43" s="93" t="s">
        <v>193</v>
      </c>
      <c r="K43" s="93"/>
      <c r="L43" s="60"/>
      <c r="M43" s="60"/>
      <c r="N43" s="60"/>
    </row>
    <row r="44" spans="1:22" x14ac:dyDescent="0.25">
      <c r="A44" s="64" t="s">
        <v>114</v>
      </c>
      <c r="B44" s="61"/>
      <c r="C44" s="59" t="s">
        <v>115</v>
      </c>
      <c r="D44" s="59"/>
      <c r="E44" s="59" t="s">
        <v>116</v>
      </c>
      <c r="F44" s="61"/>
      <c r="G44" s="61"/>
      <c r="H44" s="59"/>
      <c r="I44" s="61"/>
      <c r="J44" s="59" t="s">
        <v>118</v>
      </c>
      <c r="K44" s="59" t="s">
        <v>8</v>
      </c>
      <c r="L44" s="60"/>
      <c r="M44" s="60"/>
      <c r="N44" s="60"/>
    </row>
    <row r="45" spans="1:22" x14ac:dyDescent="0.25">
      <c r="A45" s="60"/>
      <c r="B45" s="61" t="s">
        <v>70</v>
      </c>
      <c r="C45" s="61">
        <f>MMULT(C36:F36,K36:K39)/K41</f>
        <v>147.77100721274644</v>
      </c>
      <c r="D45" s="61"/>
      <c r="E45" s="61">
        <f>SUMPRODUCT(C45:C48,E18:E21)</f>
        <v>1478129.0217812373</v>
      </c>
      <c r="F45" s="61"/>
      <c r="G45" s="61"/>
      <c r="H45" s="61"/>
      <c r="I45" s="61"/>
      <c r="J45" s="59" t="s">
        <v>26</v>
      </c>
      <c r="K45" s="61" t="s">
        <v>68</v>
      </c>
      <c r="L45" s="61" t="s">
        <v>66</v>
      </c>
      <c r="M45" s="61" t="s">
        <v>64</v>
      </c>
      <c r="N45" s="61" t="s">
        <v>96</v>
      </c>
    </row>
    <row r="46" spans="1:22" x14ac:dyDescent="0.25">
      <c r="A46" s="60"/>
      <c r="B46" s="61" t="s">
        <v>73</v>
      </c>
      <c r="C46" s="61">
        <f>MMULT(C37:F37,L36:L39)/L41</f>
        <v>90.971007212746414</v>
      </c>
      <c r="D46" s="61"/>
      <c r="E46" s="61"/>
      <c r="F46" s="61"/>
      <c r="G46" s="61"/>
      <c r="H46" s="61"/>
      <c r="I46" s="61"/>
      <c r="J46" s="61" t="s">
        <v>70</v>
      </c>
      <c r="K46" s="61">
        <f t="shared" ref="K46:N47" si="2">$E18</f>
        <v>260</v>
      </c>
      <c r="L46" s="61">
        <f t="shared" si="2"/>
        <v>260</v>
      </c>
      <c r="M46" s="61">
        <f t="shared" si="2"/>
        <v>260</v>
      </c>
      <c r="N46" s="61">
        <f t="shared" si="2"/>
        <v>260</v>
      </c>
    </row>
    <row r="47" spans="1:22" x14ac:dyDescent="0.25">
      <c r="A47" s="60"/>
      <c r="B47" s="61" t="s">
        <v>68</v>
      </c>
      <c r="C47" s="61">
        <f>MMULT(C38:F38,M36:M39)/M41</f>
        <v>183.97100698041902</v>
      </c>
      <c r="D47" s="61"/>
      <c r="E47" s="61"/>
      <c r="F47" s="61"/>
      <c r="G47" s="61"/>
      <c r="H47" s="61"/>
      <c r="I47" s="61"/>
      <c r="J47" s="61" t="s">
        <v>73</v>
      </c>
      <c r="K47" s="61">
        <f t="shared" si="2"/>
        <v>440</v>
      </c>
      <c r="L47" s="61">
        <f t="shared" si="2"/>
        <v>440</v>
      </c>
      <c r="M47" s="61">
        <f t="shared" si="2"/>
        <v>440</v>
      </c>
      <c r="N47" s="61">
        <f t="shared" si="2"/>
        <v>440</v>
      </c>
      <c r="R47" s="60"/>
      <c r="S47" s="60"/>
      <c r="T47" s="60"/>
      <c r="U47" s="60"/>
      <c r="V47" s="60"/>
    </row>
    <row r="48" spans="1:22" x14ac:dyDescent="0.25">
      <c r="A48" s="60"/>
      <c r="B48" s="61" t="s">
        <v>96</v>
      </c>
      <c r="C48" s="61">
        <f>MMULT(C39:F39,N36:N39)/N41</f>
        <v>92.200026873228083</v>
      </c>
      <c r="D48" s="61"/>
      <c r="E48" s="61"/>
      <c r="F48" s="61"/>
      <c r="G48" s="61"/>
      <c r="H48" s="61"/>
      <c r="I48" s="61"/>
      <c r="J48" s="61" t="s">
        <v>68</v>
      </c>
      <c r="K48" s="61">
        <f>$J74</f>
        <v>0</v>
      </c>
      <c r="L48" s="61">
        <f>$E20</f>
        <v>4100</v>
      </c>
      <c r="M48" s="61">
        <f>$E20</f>
        <v>4100</v>
      </c>
      <c r="N48" s="61">
        <f>$E20</f>
        <v>4100</v>
      </c>
      <c r="R48" s="60"/>
      <c r="S48" s="60"/>
      <c r="T48" s="60"/>
      <c r="U48" s="60"/>
      <c r="V48" s="60"/>
    </row>
    <row r="49" spans="1:22" x14ac:dyDescent="0.25">
      <c r="A49" s="60"/>
      <c r="B49" s="60"/>
      <c r="C49" s="60"/>
      <c r="D49" s="60"/>
      <c r="E49" s="60"/>
      <c r="F49" s="60"/>
      <c r="G49" s="60"/>
      <c r="H49" s="60"/>
      <c r="I49" s="60"/>
      <c r="J49" s="61" t="s">
        <v>96</v>
      </c>
      <c r="K49" s="61">
        <f>$E21</f>
        <v>7000</v>
      </c>
      <c r="L49" s="61">
        <f>$E21</f>
        <v>7000</v>
      </c>
      <c r="M49" s="61">
        <f>$E21</f>
        <v>7000</v>
      </c>
      <c r="N49" s="61">
        <v>0</v>
      </c>
      <c r="R49" s="60"/>
      <c r="S49" s="60"/>
      <c r="T49" s="60"/>
      <c r="U49" s="60"/>
      <c r="V49" s="60"/>
    </row>
    <row r="50" spans="1:22" x14ac:dyDescent="0.25">
      <c r="A50" s="60"/>
      <c r="B50" s="60"/>
      <c r="C50" s="60"/>
      <c r="D50" s="60"/>
      <c r="E50" s="60"/>
      <c r="F50" s="60"/>
      <c r="G50" s="60"/>
      <c r="H50" s="60"/>
      <c r="I50" s="60"/>
      <c r="J50" s="61"/>
      <c r="K50" s="61"/>
      <c r="L50" s="61"/>
      <c r="M50" s="61"/>
      <c r="N50" s="61"/>
      <c r="P50" s="60"/>
      <c r="Q50" s="60"/>
      <c r="R50" s="60"/>
      <c r="S50" s="60"/>
      <c r="T50" s="60"/>
      <c r="U50" s="60"/>
      <c r="V50" s="60"/>
    </row>
    <row r="51" spans="1:22" x14ac:dyDescent="0.25">
      <c r="A51" s="60"/>
      <c r="B51" s="60"/>
      <c r="C51" s="60"/>
      <c r="D51" s="60"/>
      <c r="E51" s="60"/>
      <c r="F51" s="60"/>
      <c r="G51" s="60"/>
      <c r="H51" s="60"/>
      <c r="I51" s="60"/>
      <c r="J51" s="122" t="s">
        <v>14</v>
      </c>
      <c r="K51" s="122">
        <f>SUM(K46:K49)</f>
        <v>7700</v>
      </c>
      <c r="L51" s="122">
        <f t="shared" ref="L51:N51" si="3">SUM(L46:L49)</f>
        <v>11800</v>
      </c>
      <c r="M51" s="122">
        <f t="shared" si="3"/>
        <v>11800</v>
      </c>
      <c r="N51" s="122">
        <f t="shared" si="3"/>
        <v>4800</v>
      </c>
      <c r="P51" s="60"/>
      <c r="Q51" s="60"/>
      <c r="R51" s="60"/>
      <c r="S51" s="60"/>
      <c r="T51" s="60"/>
      <c r="U51" s="60"/>
      <c r="V51" s="60"/>
    </row>
    <row r="52" spans="1:22" x14ac:dyDescent="0.25">
      <c r="A52" s="60"/>
      <c r="B52" s="60"/>
      <c r="C52" s="60"/>
      <c r="D52" s="60"/>
      <c r="E52" s="60"/>
      <c r="F52" s="60"/>
      <c r="G52" s="60"/>
      <c r="H52" s="60"/>
      <c r="I52" s="60"/>
      <c r="J52" s="60"/>
      <c r="K52" s="60"/>
      <c r="L52" s="60"/>
      <c r="M52" s="60"/>
      <c r="N52" s="60"/>
      <c r="P52" s="60"/>
      <c r="Q52" s="123"/>
    </row>
    <row r="53" spans="1:22" x14ac:dyDescent="0.25">
      <c r="A53" s="60"/>
      <c r="B53" s="93" t="s">
        <v>194</v>
      </c>
      <c r="C53" s="93"/>
      <c r="D53" s="93"/>
      <c r="E53" s="93" t="s">
        <v>195</v>
      </c>
      <c r="F53" s="93"/>
      <c r="G53" s="93"/>
      <c r="H53" s="93"/>
      <c r="I53" s="93"/>
      <c r="J53" s="124" t="s">
        <v>196</v>
      </c>
      <c r="K53" s="125"/>
      <c r="L53" s="126"/>
      <c r="M53" s="126"/>
      <c r="N53" s="102"/>
      <c r="P53" s="60"/>
      <c r="Q53" s="60"/>
    </row>
    <row r="54" spans="1:22" x14ac:dyDescent="0.25">
      <c r="A54" s="60"/>
      <c r="B54" s="61"/>
      <c r="C54" s="59" t="s">
        <v>122</v>
      </c>
      <c r="D54" s="59"/>
      <c r="E54" s="59" t="s">
        <v>116</v>
      </c>
      <c r="F54" s="59"/>
      <c r="G54" s="59"/>
      <c r="H54" s="59"/>
      <c r="I54" s="60"/>
      <c r="J54" s="113"/>
      <c r="K54" s="38"/>
      <c r="L54" s="38"/>
      <c r="M54" s="38"/>
      <c r="N54" s="39"/>
      <c r="P54" s="60"/>
      <c r="Q54" s="60"/>
    </row>
    <row r="55" spans="1:22" x14ac:dyDescent="0.25">
      <c r="A55" s="60"/>
      <c r="B55" s="61" t="s">
        <v>68</v>
      </c>
      <c r="C55" s="61">
        <f>SUMPRODUCT(K46:K49,C36:C39)/K51</f>
        <v>132.19064935064935</v>
      </c>
      <c r="D55" s="60"/>
      <c r="E55" s="61">
        <f>SUMPRODUCT(C55:C58,M18:M21)</f>
        <v>1168287.4673783325</v>
      </c>
      <c r="F55" s="61"/>
      <c r="G55" s="61"/>
      <c r="H55" s="61"/>
      <c r="I55" s="60"/>
      <c r="J55" s="127" t="s">
        <v>135</v>
      </c>
      <c r="K55" s="128" t="s">
        <v>136</v>
      </c>
      <c r="L55" s="38"/>
      <c r="M55" s="38"/>
      <c r="N55" s="39"/>
    </row>
    <row r="56" spans="1:22" x14ac:dyDescent="0.25">
      <c r="A56" s="60"/>
      <c r="B56" s="61" t="s">
        <v>66</v>
      </c>
      <c r="C56" s="61">
        <f>SUMPRODUCT(L46:L49,D36:D39)/L51</f>
        <v>227.84305084745759</v>
      </c>
      <c r="D56" s="60"/>
      <c r="E56" s="61"/>
      <c r="F56" s="61"/>
      <c r="G56" s="61"/>
      <c r="H56" s="61"/>
      <c r="I56" s="60"/>
      <c r="J56" s="129">
        <f>M76</f>
        <v>1.9127533478057214E-2</v>
      </c>
      <c r="K56" s="130">
        <f>J56*E18</f>
        <v>4.9731587042948755</v>
      </c>
      <c r="L56" s="130"/>
      <c r="M56" s="38"/>
      <c r="N56" s="39"/>
    </row>
    <row r="57" spans="1:22" x14ac:dyDescent="0.25">
      <c r="A57" s="60"/>
      <c r="B57" s="61" t="s">
        <v>64</v>
      </c>
      <c r="C57" s="61">
        <f>SUMPRODUCT(M46:M49,E36:E39)/M51</f>
        <v>142.44305084745761</v>
      </c>
      <c r="D57" s="60"/>
      <c r="E57" s="61"/>
      <c r="F57" s="61"/>
      <c r="G57" s="61"/>
      <c r="H57" s="61"/>
      <c r="I57" s="60"/>
      <c r="J57" s="129">
        <f>M76</f>
        <v>1.9127533478057214E-2</v>
      </c>
      <c r="K57" s="130">
        <f>J57*E19</f>
        <v>8.4161147303451749</v>
      </c>
      <c r="L57" s="130"/>
      <c r="M57" s="38"/>
      <c r="N57" s="39"/>
    </row>
    <row r="58" spans="1:22" x14ac:dyDescent="0.25">
      <c r="A58" s="60"/>
      <c r="B58" s="61" t="s">
        <v>96</v>
      </c>
      <c r="C58" s="61">
        <f>SUMPRODUCT(N46:N49,F36:F39)/N51</f>
        <v>123.51416666666667</v>
      </c>
      <c r="D58" s="60"/>
      <c r="E58" s="61"/>
      <c r="F58" s="61"/>
      <c r="G58" s="61"/>
      <c r="H58" s="61"/>
      <c r="I58" s="60"/>
      <c r="J58" s="129">
        <f>M75</f>
        <v>2.4029321563294827E-2</v>
      </c>
      <c r="K58" s="130">
        <f>J58*E20</f>
        <v>98.520218409508786</v>
      </c>
      <c r="L58" s="130"/>
      <c r="M58" s="38"/>
      <c r="N58" s="108"/>
    </row>
    <row r="59" spans="1:22" x14ac:dyDescent="0.25">
      <c r="A59" s="60"/>
      <c r="B59" s="60"/>
      <c r="C59" s="60"/>
      <c r="D59" s="60"/>
      <c r="E59" s="60"/>
      <c r="F59" s="60"/>
      <c r="G59" s="60"/>
      <c r="H59" s="60"/>
      <c r="I59" s="60"/>
      <c r="J59" s="129">
        <v>0</v>
      </c>
      <c r="K59" s="130">
        <f>J59*E21</f>
        <v>0</v>
      </c>
      <c r="L59" s="130"/>
      <c r="M59" s="38"/>
      <c r="N59" s="108"/>
    </row>
    <row r="60" spans="1:22" x14ac:dyDescent="0.25">
      <c r="A60" s="60"/>
      <c r="B60" s="93"/>
      <c r="C60" s="93"/>
      <c r="D60" s="93"/>
      <c r="E60" s="93"/>
      <c r="F60" s="93"/>
      <c r="G60" s="93"/>
      <c r="H60" s="60"/>
      <c r="I60" s="60"/>
      <c r="J60" s="129"/>
      <c r="K60" s="130"/>
      <c r="L60" s="130"/>
      <c r="M60" s="38"/>
      <c r="N60" s="108"/>
    </row>
    <row r="61" spans="1:22" x14ac:dyDescent="0.25">
      <c r="A61" s="60"/>
      <c r="B61" s="60"/>
      <c r="C61" s="60"/>
      <c r="D61" s="60"/>
      <c r="E61" s="60"/>
      <c r="F61" s="60"/>
      <c r="G61" s="60"/>
      <c r="H61" s="60"/>
      <c r="I61" s="60"/>
      <c r="J61" s="113"/>
      <c r="K61" s="131">
        <f>SUM(K56:K59)</f>
        <v>111.90949184414883</v>
      </c>
      <c r="L61" s="38"/>
      <c r="M61" s="38"/>
      <c r="N61" s="108"/>
    </row>
    <row r="62" spans="1:22" x14ac:dyDescent="0.25">
      <c r="A62" s="60"/>
      <c r="B62" s="59"/>
      <c r="C62" s="59"/>
      <c r="D62" s="59"/>
      <c r="E62" s="59"/>
      <c r="F62" s="59"/>
      <c r="G62" s="60"/>
      <c r="H62" s="60"/>
      <c r="I62" s="60"/>
      <c r="J62" s="113"/>
      <c r="K62" s="38"/>
      <c r="L62" s="38"/>
      <c r="M62" s="38"/>
      <c r="N62" s="108"/>
    </row>
    <row r="63" spans="1:22" x14ac:dyDescent="0.25">
      <c r="A63" s="60"/>
      <c r="B63" s="61"/>
      <c r="C63" s="61"/>
      <c r="D63" s="61"/>
      <c r="E63" s="61"/>
      <c r="F63" s="61"/>
      <c r="G63" s="61"/>
      <c r="H63" s="60"/>
      <c r="I63" s="60"/>
      <c r="J63" s="113"/>
      <c r="K63" s="38"/>
      <c r="L63" s="38"/>
      <c r="M63" s="38"/>
      <c r="N63" s="108"/>
    </row>
    <row r="64" spans="1:22" x14ac:dyDescent="0.25">
      <c r="A64" s="60"/>
      <c r="B64" s="61"/>
      <c r="C64" s="61"/>
      <c r="D64" s="61"/>
      <c r="E64" s="61"/>
      <c r="F64" s="61"/>
      <c r="G64" s="61"/>
      <c r="H64" s="60"/>
      <c r="I64" s="60"/>
      <c r="J64" s="132" t="s">
        <v>197</v>
      </c>
      <c r="K64" s="68"/>
      <c r="L64" s="38"/>
      <c r="M64" s="38"/>
      <c r="N64" s="108"/>
    </row>
    <row r="65" spans="1:14" x14ac:dyDescent="0.25">
      <c r="A65" s="60"/>
      <c r="B65" s="61"/>
      <c r="C65" s="61"/>
      <c r="D65" s="61"/>
      <c r="E65" s="61"/>
      <c r="F65" s="61"/>
      <c r="G65" s="61"/>
      <c r="H65" s="60"/>
      <c r="I65" s="60"/>
      <c r="J65" s="113"/>
      <c r="K65" s="38"/>
      <c r="L65" s="38"/>
      <c r="M65" s="38"/>
      <c r="N65" s="108"/>
    </row>
    <row r="66" spans="1:14" x14ac:dyDescent="0.25">
      <c r="A66" s="60"/>
      <c r="B66" s="61"/>
      <c r="C66" s="61"/>
      <c r="D66" s="61"/>
      <c r="E66" s="61"/>
      <c r="F66" s="61"/>
      <c r="G66" s="61"/>
      <c r="H66" s="60"/>
      <c r="I66" s="60"/>
      <c r="J66" s="127" t="s">
        <v>149</v>
      </c>
      <c r="K66" s="128" t="s">
        <v>150</v>
      </c>
      <c r="L66" s="38"/>
      <c r="M66" s="38"/>
      <c r="N66" s="108"/>
    </row>
    <row r="67" spans="1:14" x14ac:dyDescent="0.25">
      <c r="A67" s="60"/>
      <c r="B67" s="61"/>
      <c r="C67" s="61"/>
      <c r="D67" s="61"/>
      <c r="E67" s="61"/>
      <c r="F67" s="61"/>
      <c r="G67" s="61"/>
      <c r="H67" s="60"/>
      <c r="I67" s="60"/>
      <c r="J67" s="129">
        <f>M77</f>
        <v>1.9127533478057214E-2</v>
      </c>
      <c r="K67" s="130">
        <f>J67*M18</f>
        <v>1.9127533478057213E-5</v>
      </c>
      <c r="L67" s="130"/>
      <c r="M67" s="38"/>
      <c r="N67" s="108"/>
    </row>
    <row r="68" spans="1:14" x14ac:dyDescent="0.25">
      <c r="A68" s="60"/>
      <c r="B68" s="60"/>
      <c r="C68" s="60"/>
      <c r="D68" s="60"/>
      <c r="E68" s="65"/>
      <c r="F68" s="60"/>
      <c r="G68" s="60"/>
      <c r="H68" s="60"/>
      <c r="I68" s="60"/>
      <c r="J68" s="129">
        <f>M78</f>
        <v>2.3769034489543376E-2</v>
      </c>
      <c r="K68" s="130">
        <f>J68*M19</f>
        <v>2.3769034489543375E-5</v>
      </c>
      <c r="L68" s="130"/>
      <c r="M68" s="38"/>
      <c r="N68" s="108"/>
    </row>
    <row r="69" spans="1:14" x14ac:dyDescent="0.25">
      <c r="A69" s="60"/>
      <c r="B69" s="60"/>
      <c r="C69" s="60"/>
      <c r="D69" s="60"/>
      <c r="E69" s="60"/>
      <c r="F69" s="60"/>
      <c r="G69" s="60"/>
      <c r="H69" s="60"/>
      <c r="I69" s="60"/>
      <c r="J69" s="129">
        <f>M78</f>
        <v>2.3769034489543376E-2</v>
      </c>
      <c r="K69" s="130">
        <f>J69*M20</f>
        <v>112.50676325050524</v>
      </c>
      <c r="L69" s="130"/>
      <c r="M69" s="38"/>
      <c r="N69" s="108"/>
    </row>
    <row r="70" spans="1:14" x14ac:dyDescent="0.25">
      <c r="A70" s="60"/>
      <c r="B70" s="60"/>
      <c r="C70" s="60"/>
      <c r="D70" s="60"/>
      <c r="E70" s="60"/>
      <c r="F70" s="60"/>
      <c r="G70" s="60"/>
      <c r="H70" s="60"/>
      <c r="I70" s="60"/>
      <c r="J70" s="129">
        <v>0</v>
      </c>
      <c r="K70" s="130">
        <f>J70*M21</f>
        <v>0</v>
      </c>
      <c r="L70" s="130"/>
      <c r="M70" s="38"/>
      <c r="N70" s="108"/>
    </row>
    <row r="71" spans="1:14" x14ac:dyDescent="0.25">
      <c r="A71" s="60"/>
      <c r="B71" s="93"/>
      <c r="C71" s="93"/>
      <c r="D71" s="93"/>
      <c r="E71" s="93"/>
      <c r="F71" s="93"/>
      <c r="G71" s="93"/>
      <c r="H71" s="60"/>
      <c r="I71" s="60"/>
      <c r="J71" s="129"/>
      <c r="K71" s="130"/>
      <c r="L71" s="130"/>
      <c r="M71" s="38"/>
      <c r="N71" s="108"/>
    </row>
    <row r="72" spans="1:14" x14ac:dyDescent="0.25">
      <c r="A72" s="60"/>
      <c r="B72" s="60"/>
      <c r="C72" s="60"/>
      <c r="D72" s="60"/>
      <c r="E72" s="60"/>
      <c r="F72" s="60"/>
      <c r="G72" s="60"/>
      <c r="H72" s="60"/>
      <c r="I72" s="60"/>
      <c r="J72" s="113"/>
      <c r="K72" s="131">
        <f>SUM(K67:K70)</f>
        <v>112.50680614707321</v>
      </c>
      <c r="L72" s="38"/>
      <c r="M72" s="38"/>
      <c r="N72" s="108"/>
    </row>
    <row r="73" spans="1:14" x14ac:dyDescent="0.25">
      <c r="A73" s="60"/>
      <c r="B73" s="59"/>
      <c r="C73" s="59"/>
      <c r="D73" s="59"/>
      <c r="E73" s="59"/>
      <c r="F73" s="59"/>
      <c r="G73" s="60"/>
      <c r="H73" s="60"/>
      <c r="I73" s="60"/>
      <c r="J73" s="113"/>
      <c r="K73" s="38"/>
      <c r="L73" s="38"/>
      <c r="M73" s="88"/>
      <c r="N73" s="108"/>
    </row>
    <row r="74" spans="1:14" x14ac:dyDescent="0.25">
      <c r="A74" s="60"/>
      <c r="B74" s="61"/>
      <c r="C74" s="61"/>
      <c r="D74" s="61"/>
      <c r="E74" s="61"/>
      <c r="F74" s="61"/>
      <c r="G74" s="61"/>
      <c r="H74" s="60"/>
      <c r="I74" s="60"/>
      <c r="J74" s="114"/>
      <c r="K74" s="115" t="s">
        <v>30</v>
      </c>
      <c r="L74" s="115"/>
      <c r="M74" s="115" t="s">
        <v>198</v>
      </c>
      <c r="N74" s="116"/>
    </row>
    <row r="75" spans="1:14" x14ac:dyDescent="0.25">
      <c r="A75" s="60"/>
      <c r="B75" s="61"/>
      <c r="C75" s="61"/>
      <c r="D75" s="61"/>
      <c r="E75" s="61"/>
      <c r="F75" s="61"/>
      <c r="G75" s="61"/>
      <c r="H75" s="60"/>
      <c r="I75" s="60"/>
      <c r="J75" s="114" t="s">
        <v>71</v>
      </c>
      <c r="K75" s="133">
        <f>'5. Current tariff method 20'!C20</f>
        <v>24.029321563294825</v>
      </c>
      <c r="L75" s="115"/>
      <c r="M75" s="115">
        <f>K75*10^(-3)</f>
        <v>2.4029321563294827E-2</v>
      </c>
      <c r="N75" s="116"/>
    </row>
    <row r="76" spans="1:14" x14ac:dyDescent="0.25">
      <c r="A76" s="60"/>
      <c r="B76" s="61"/>
      <c r="C76" s="61"/>
      <c r="D76" s="61"/>
      <c r="E76" s="61"/>
      <c r="F76" s="61"/>
      <c r="G76" s="61"/>
      <c r="H76" s="60"/>
      <c r="I76" s="60"/>
      <c r="J76" s="114" t="s">
        <v>201</v>
      </c>
      <c r="K76" s="133">
        <f>'5. Current tariff method 20'!F20</f>
        <v>19.127533478057213</v>
      </c>
      <c r="L76" s="115"/>
      <c r="M76" s="115">
        <f t="shared" ref="M76:M78" si="4">K76*10^(-3)</f>
        <v>1.9127533478057214E-2</v>
      </c>
      <c r="N76" s="116"/>
    </row>
    <row r="77" spans="1:14" x14ac:dyDescent="0.25">
      <c r="A77" s="60"/>
      <c r="B77" s="61"/>
      <c r="C77" s="61"/>
      <c r="D77" s="61"/>
      <c r="E77" s="61"/>
      <c r="F77" s="61"/>
      <c r="G77" s="61"/>
      <c r="H77" s="60"/>
      <c r="I77" s="60"/>
      <c r="J77" s="114" t="s">
        <v>67</v>
      </c>
      <c r="K77" s="133">
        <f>'5. Current tariff method 20'!F20</f>
        <v>19.127533478057213</v>
      </c>
      <c r="L77" s="115"/>
      <c r="M77" s="115">
        <f t="shared" si="4"/>
        <v>1.9127533478057214E-2</v>
      </c>
      <c r="N77" s="116"/>
    </row>
    <row r="78" spans="1:14" x14ac:dyDescent="0.25">
      <c r="A78" s="60"/>
      <c r="B78" s="61"/>
      <c r="C78" s="61"/>
      <c r="D78" s="61"/>
      <c r="E78" s="61"/>
      <c r="F78" s="61"/>
      <c r="G78" s="61"/>
      <c r="H78" s="60"/>
      <c r="I78" s="60"/>
      <c r="J78" s="117" t="s">
        <v>202</v>
      </c>
      <c r="K78" s="134">
        <f>'5. Current tariff method 20'!D20</f>
        <v>23.769034489543376</v>
      </c>
      <c r="L78" s="118"/>
      <c r="M78" s="118">
        <f t="shared" si="4"/>
        <v>2.3769034489543376E-2</v>
      </c>
      <c r="N78" s="119"/>
    </row>
    <row r="79" spans="1:14" x14ac:dyDescent="0.25">
      <c r="A79" s="60"/>
      <c r="B79" s="60"/>
      <c r="C79" s="60"/>
      <c r="D79" s="60"/>
      <c r="E79" s="65"/>
      <c r="F79" s="60"/>
      <c r="G79" s="60"/>
      <c r="H79" s="60"/>
      <c r="I79" s="60"/>
      <c r="J79" s="60"/>
      <c r="K79" s="60"/>
      <c r="L79" s="65"/>
      <c r="M79" s="60"/>
      <c r="N79" s="60"/>
    </row>
    <row r="80" spans="1:14" x14ac:dyDescent="0.25">
      <c r="A80" s="60"/>
      <c r="B80" s="60"/>
      <c r="C80" s="60"/>
      <c r="D80" s="60"/>
      <c r="E80" s="60"/>
      <c r="F80" s="60"/>
      <c r="G80" s="60"/>
      <c r="H80" s="60"/>
      <c r="I80" s="60"/>
      <c r="J80" s="60"/>
      <c r="K80" s="60"/>
      <c r="L80" s="60"/>
      <c r="M80" s="60"/>
      <c r="N80" s="60"/>
    </row>
    <row r="81" spans="1:12" ht="18.75" x14ac:dyDescent="0.3">
      <c r="A81" s="58" t="s">
        <v>151</v>
      </c>
    </row>
    <row r="83" spans="1:12" x14ac:dyDescent="0.25">
      <c r="B83" s="68" t="s">
        <v>152</v>
      </c>
      <c r="J83" s="68" t="s">
        <v>153</v>
      </c>
    </row>
    <row r="84" spans="1:12" x14ac:dyDescent="0.25">
      <c r="B84" s="69" t="s">
        <v>154</v>
      </c>
      <c r="C84" s="69" t="s">
        <v>155</v>
      </c>
      <c r="D84" s="69" t="s">
        <v>156</v>
      </c>
      <c r="E84" s="69" t="s">
        <v>156</v>
      </c>
      <c r="F84" s="69" t="s">
        <v>155</v>
      </c>
      <c r="G84" s="74"/>
      <c r="J84" s="75" t="s">
        <v>157</v>
      </c>
      <c r="K84" s="75"/>
      <c r="L84" s="75"/>
    </row>
    <row r="85" spans="1:12" x14ac:dyDescent="0.25">
      <c r="B85" s="62"/>
      <c r="C85" s="62" t="s">
        <v>64</v>
      </c>
      <c r="D85" s="62" t="s">
        <v>68</v>
      </c>
      <c r="E85" s="62" t="s">
        <v>66</v>
      </c>
      <c r="F85" s="62" t="s">
        <v>96</v>
      </c>
      <c r="G85" s="74"/>
      <c r="J85" s="74"/>
      <c r="K85" s="69" t="s">
        <v>158</v>
      </c>
      <c r="L85" s="69" t="s">
        <v>159</v>
      </c>
    </row>
    <row r="86" spans="1:12" x14ac:dyDescent="0.25">
      <c r="B86" s="69" t="s">
        <v>160</v>
      </c>
      <c r="C86" s="62">
        <f>M20</f>
        <v>4733.3333333333303</v>
      </c>
      <c r="D86" s="62">
        <f>M18</f>
        <v>1E-3</v>
      </c>
      <c r="E86" s="62">
        <f>M19</f>
        <v>1E-3</v>
      </c>
      <c r="F86" s="62">
        <f>M21</f>
        <v>4000</v>
      </c>
      <c r="G86" s="74"/>
      <c r="J86" s="76" t="s">
        <v>70</v>
      </c>
      <c r="K86" s="62">
        <f>(K38*E36+K39*F36)/SUM(K38,K39)</f>
        <v>147.7709923664122</v>
      </c>
      <c r="L86" s="62">
        <f>(K36*C36+K37*D36)/SUM(K36,K37)</f>
        <v>212.6</v>
      </c>
    </row>
    <row r="87" spans="1:12" x14ac:dyDescent="0.25">
      <c r="B87" s="69" t="s">
        <v>161</v>
      </c>
      <c r="C87" s="62">
        <f>C86*C57</f>
        <v>674230.44067796564</v>
      </c>
      <c r="D87" s="62">
        <f>D86*C55</f>
        <v>0.13219064935064936</v>
      </c>
      <c r="E87" s="62">
        <f>E86*C56</f>
        <v>0.2278430508474576</v>
      </c>
      <c r="F87" s="62">
        <f>F86*C58</f>
        <v>494056.66666666669</v>
      </c>
      <c r="G87" s="74"/>
      <c r="J87" s="76" t="s">
        <v>73</v>
      </c>
      <c r="K87" s="62">
        <f>(L38*E37+L39*F37)/SUM(L38,L39)</f>
        <v>90.97099236641219</v>
      </c>
      <c r="L87" s="62">
        <f>(L36*C37+L37*D37)/SUM(L36,L37)</f>
        <v>155.79999999999998</v>
      </c>
    </row>
    <row r="88" spans="1:12" x14ac:dyDescent="0.25">
      <c r="J88" s="76" t="s">
        <v>68</v>
      </c>
      <c r="K88" s="62">
        <f>(M38*E38+M39*F38)/SUM(M38,M39)</f>
        <v>183.97099236641219</v>
      </c>
      <c r="L88" s="62">
        <f>(M36*C38+M37*D38)/SUM(M36,M37)</f>
        <v>311.59999999999997</v>
      </c>
    </row>
    <row r="89" spans="1:12" x14ac:dyDescent="0.25">
      <c r="C89" s="62" t="s">
        <v>162</v>
      </c>
      <c r="J89" s="76" t="s">
        <v>96</v>
      </c>
      <c r="K89" s="62">
        <f>(N38*E39+N39*F39)/SUM(N38,N39)</f>
        <v>92.2</v>
      </c>
      <c r="L89" s="62">
        <f>(N36*C39+N37*D39)/SUM(N36,N37)</f>
        <v>155.79999999999998</v>
      </c>
    </row>
    <row r="90" spans="1:12" x14ac:dyDescent="0.25">
      <c r="B90" s="68" t="s">
        <v>163</v>
      </c>
      <c r="J90" s="68" t="s">
        <v>164</v>
      </c>
      <c r="K90" s="62"/>
      <c r="L90" s="62"/>
    </row>
    <row r="91" spans="1:12" ht="34.5" x14ac:dyDescent="0.25">
      <c r="C91" s="76" t="s">
        <v>165</v>
      </c>
      <c r="D91" s="76" t="s">
        <v>166</v>
      </c>
      <c r="E91" s="76" t="s">
        <v>167</v>
      </c>
      <c r="F91" s="76" t="s">
        <v>168</v>
      </c>
      <c r="G91" s="76" t="s">
        <v>169</v>
      </c>
      <c r="J91" s="76" t="s">
        <v>170</v>
      </c>
      <c r="K91" s="62">
        <f>SUMPRODUCT(C92:C95,J56:J59)</f>
        <v>1.8967710482059121E-5</v>
      </c>
      <c r="L91" s="62"/>
    </row>
    <row r="92" spans="1:12" ht="23.25" x14ac:dyDescent="0.25">
      <c r="B92" s="76" t="s">
        <v>70</v>
      </c>
      <c r="C92" s="62">
        <f>SUM($D$86:$E$86)/SUM($E$18:$E$21)*E18</f>
        <v>4.4067796610169488E-5</v>
      </c>
      <c r="D92" s="62" t="s">
        <v>171</v>
      </c>
      <c r="E92" s="62">
        <f>E18-C92</f>
        <v>259.99995593220336</v>
      </c>
      <c r="F92" s="62">
        <f>C92*L86</f>
        <v>9.3688135593220333E-3</v>
      </c>
      <c r="G92" s="62">
        <f>E92*K86</f>
        <v>38420.45150332513</v>
      </c>
      <c r="J92" s="76" t="s">
        <v>172</v>
      </c>
      <c r="K92" s="62">
        <f>K61-K91</f>
        <v>111.90947287643834</v>
      </c>
      <c r="L92" s="62"/>
    </row>
    <row r="93" spans="1:12" x14ac:dyDescent="0.25">
      <c r="B93" s="76" t="s">
        <v>73</v>
      </c>
      <c r="C93" s="62">
        <f>SUM($D$86:$E$86)/SUM($E$18:$E$21)*E19</f>
        <v>7.457627118644068E-5</v>
      </c>
      <c r="D93" s="62" t="s">
        <v>171</v>
      </c>
      <c r="E93" s="62">
        <f>E19-C93</f>
        <v>439.99992542372883</v>
      </c>
      <c r="F93" s="62">
        <f>C93*L87</f>
        <v>1.1618983050847456E-2</v>
      </c>
      <c r="G93" s="62">
        <f>E93*K87</f>
        <v>40027.229856943966</v>
      </c>
      <c r="J93" s="76" t="s">
        <v>173</v>
      </c>
      <c r="K93" s="62">
        <f>D86*J67+E86*J68</f>
        <v>4.2896567967600588E-5</v>
      </c>
      <c r="L93" s="62"/>
    </row>
    <row r="94" spans="1:12" x14ac:dyDescent="0.25">
      <c r="B94" s="76" t="s">
        <v>68</v>
      </c>
      <c r="C94" s="62">
        <f>SUM($D$86:$E$86)/SUM($E$18:$E$21)*E20</f>
        <v>6.9491525423728807E-4</v>
      </c>
      <c r="D94" s="62" t="s">
        <v>171</v>
      </c>
      <c r="E94" s="62">
        <f>E20-C94</f>
        <v>4099.9993050847461</v>
      </c>
      <c r="F94" s="62">
        <f>C94*L88</f>
        <v>0.21653559322033894</v>
      </c>
      <c r="G94" s="62">
        <f>E94*K88</f>
        <v>754280.94085804105</v>
      </c>
      <c r="J94" s="76" t="s">
        <v>174</v>
      </c>
      <c r="K94" s="62">
        <f>K72-K93</f>
        <v>112.50676325050524</v>
      </c>
      <c r="L94" s="62"/>
    </row>
    <row r="95" spans="1:12" x14ac:dyDescent="0.25">
      <c r="B95" s="76" t="s">
        <v>96</v>
      </c>
      <c r="C95" s="62">
        <f>SUM($D$86:$E$86)/SUM($E$18:$E$21)*E21</f>
        <v>1.1864406779661016E-3</v>
      </c>
      <c r="D95" s="62" t="s">
        <v>171</v>
      </c>
      <c r="E95" s="62">
        <f>E21-C95</f>
        <v>6999.9988135593221</v>
      </c>
      <c r="F95" s="62">
        <f>C95*L89</f>
        <v>0.18484745762711863</v>
      </c>
      <c r="G95" s="62">
        <f>E95*K89</f>
        <v>645399.8906101695</v>
      </c>
      <c r="H95" s="69"/>
      <c r="J95" s="76" t="s">
        <v>175</v>
      </c>
      <c r="K95" s="62">
        <f>K92+K94</f>
        <v>224.4162361269436</v>
      </c>
      <c r="L95" s="62"/>
    </row>
    <row r="96" spans="1:12" x14ac:dyDescent="0.25">
      <c r="B96" s="76"/>
      <c r="C96" s="62"/>
      <c r="D96" s="62"/>
      <c r="E96" s="62"/>
      <c r="F96" s="62"/>
      <c r="G96" s="62"/>
      <c r="J96" s="76" t="s">
        <v>176</v>
      </c>
      <c r="K96" s="62">
        <f>K91+K93</f>
        <v>6.1864278449659708E-5</v>
      </c>
      <c r="L96" s="62"/>
    </row>
    <row r="97" spans="2:12" x14ac:dyDescent="0.25">
      <c r="B97" s="76" t="s">
        <v>177</v>
      </c>
      <c r="C97" s="62">
        <f>SUM(C92:C95)</f>
        <v>2E-3</v>
      </c>
      <c r="D97" s="62"/>
      <c r="E97" s="62">
        <f>SUM(E92:E95)</f>
        <v>11799.998</v>
      </c>
      <c r="F97" s="62">
        <f>SUM(F92:F95)</f>
        <v>0.42237084745762704</v>
      </c>
      <c r="G97" s="62">
        <f>SUM(G92:G95)</f>
        <v>1478128.5128284795</v>
      </c>
    </row>
    <row r="98" spans="2:12" x14ac:dyDescent="0.25">
      <c r="B98" s="76"/>
      <c r="C98" s="62"/>
      <c r="D98" s="62"/>
      <c r="E98" s="62"/>
      <c r="F98" s="62"/>
      <c r="G98" s="62"/>
    </row>
    <row r="99" spans="2:12" x14ac:dyDescent="0.25">
      <c r="B99" s="76" t="s">
        <v>178</v>
      </c>
      <c r="C99" s="62">
        <f>SUM(D86:E86)</f>
        <v>2E-3</v>
      </c>
      <c r="D99" s="62"/>
      <c r="E99" s="62"/>
      <c r="F99" s="62"/>
      <c r="G99" s="62"/>
    </row>
    <row r="100" spans="2:12" x14ac:dyDescent="0.25">
      <c r="B100" s="76"/>
    </row>
    <row r="101" spans="2:12" x14ac:dyDescent="0.25">
      <c r="B101" s="76"/>
    </row>
    <row r="102" spans="2:12" x14ac:dyDescent="0.25">
      <c r="B102" s="68" t="s">
        <v>179</v>
      </c>
      <c r="J102" s="68" t="s">
        <v>180</v>
      </c>
    </row>
    <row r="103" spans="2:12" x14ac:dyDescent="0.25">
      <c r="B103" s="76" t="s">
        <v>169</v>
      </c>
      <c r="C103" s="78"/>
      <c r="D103" s="62">
        <f>G97</f>
        <v>1478128.5128284795</v>
      </c>
      <c r="E103" s="62"/>
      <c r="J103" s="79" t="s">
        <v>181</v>
      </c>
      <c r="K103" s="80"/>
      <c r="L103" s="81"/>
    </row>
    <row r="104" spans="2:12" x14ac:dyDescent="0.25">
      <c r="B104" s="76" t="s">
        <v>182</v>
      </c>
      <c r="C104" s="78"/>
      <c r="D104" s="62">
        <f>C87+F87</f>
        <v>1168287.1073446323</v>
      </c>
      <c r="E104" s="62"/>
      <c r="J104" s="82" t="s">
        <v>183</v>
      </c>
      <c r="K104" s="83">
        <f>K95*10^6/D105</f>
        <v>84.800072375730508</v>
      </c>
      <c r="L104" s="84" t="s">
        <v>184</v>
      </c>
    </row>
    <row r="105" spans="2:12" x14ac:dyDescent="0.25">
      <c r="B105" s="76" t="s">
        <v>185</v>
      </c>
      <c r="C105" s="78"/>
      <c r="D105" s="62">
        <f>SUM(D103:D104)</f>
        <v>2646415.6201731116</v>
      </c>
      <c r="E105" s="62"/>
      <c r="J105" s="82" t="s">
        <v>186</v>
      </c>
      <c r="K105" s="83">
        <f>K96*10^6/D108</f>
        <v>79.069425957478742</v>
      </c>
      <c r="L105" s="84" t="s">
        <v>187</v>
      </c>
    </row>
    <row r="106" spans="2:12" x14ac:dyDescent="0.25">
      <c r="B106" s="76" t="s">
        <v>188</v>
      </c>
      <c r="C106" s="78"/>
      <c r="D106" s="62">
        <f>F97</f>
        <v>0.42237084745762704</v>
      </c>
      <c r="E106" s="62"/>
      <c r="J106" s="82" t="s">
        <v>189</v>
      </c>
      <c r="K106" s="85">
        <f>2*(ABS(K104-K105))/(K104+K105)</f>
        <v>6.994158737947892E-2</v>
      </c>
      <c r="L106" s="84" t="s">
        <v>190</v>
      </c>
    </row>
    <row r="107" spans="2:12" x14ac:dyDescent="0.25">
      <c r="B107" s="76" t="s">
        <v>191</v>
      </c>
      <c r="C107" s="78"/>
      <c r="D107" s="62">
        <f>SUM(D87:E87)</f>
        <v>0.36003370019810699</v>
      </c>
      <c r="E107" s="62"/>
    </row>
    <row r="108" spans="2:12" x14ac:dyDescent="0.25">
      <c r="B108" s="76" t="s">
        <v>192</v>
      </c>
      <c r="C108" s="78"/>
      <c r="D108" s="62">
        <f>SUM(D106:D107)</f>
        <v>0.78240454765573397</v>
      </c>
      <c r="E108" s="62"/>
    </row>
    <row r="109" spans="2:12" x14ac:dyDescent="0.25">
      <c r="D109" s="62"/>
      <c r="E109" s="62"/>
    </row>
    <row r="110" spans="2:12" x14ac:dyDescent="0.25">
      <c r="D110" s="62"/>
      <c r="E110" s="62"/>
    </row>
    <row r="115" spans="5:5" x14ac:dyDescent="0.25">
      <c r="E115" s="62"/>
    </row>
  </sheetData>
  <conditionalFormatting sqref="K106">
    <cfRule type="cellIs" dxfId="43" priority="1" operator="lessThan">
      <formula>0.1</formula>
    </cfRule>
    <cfRule type="cellIs" dxfId="42" priority="2" operator="greaterThan">
      <formula>0.1</formula>
    </cfRule>
  </conditionalFormatting>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P101"/>
  <sheetViews>
    <sheetView showGridLines="0" workbookViewId="0">
      <selection activeCell="E25" sqref="E25"/>
    </sheetView>
  </sheetViews>
  <sheetFormatPr defaultColWidth="9.140625" defaultRowHeight="15" x14ac:dyDescent="0.25"/>
  <cols>
    <col min="1" max="1" width="9.140625" style="53"/>
    <col min="2" max="2" width="11" style="53" customWidth="1"/>
    <col min="3" max="3" width="9.5703125" style="53" customWidth="1"/>
    <col min="4" max="4" width="10.85546875" style="53" bestFit="1" customWidth="1"/>
    <col min="5" max="5" width="12" style="53" customWidth="1"/>
    <col min="6" max="7" width="10" style="53" bestFit="1" customWidth="1"/>
    <col min="8" max="8" width="9.140625" style="53"/>
    <col min="9" max="9" width="13.42578125" style="53" customWidth="1"/>
    <col min="10" max="10" width="19.5703125" style="53" customWidth="1"/>
    <col min="11" max="14" width="9.42578125" style="53" bestFit="1" customWidth="1"/>
    <col min="15"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row>
    <row r="5" spans="1:14" x14ac:dyDescent="0.25">
      <c r="A5" s="57" t="s">
        <v>89</v>
      </c>
      <c r="B5" s="55"/>
      <c r="C5" s="55"/>
      <c r="D5" s="55"/>
      <c r="E5" s="55"/>
    </row>
    <row r="13" spans="1:14" ht="18.75" x14ac:dyDescent="0.3">
      <c r="A13" s="58" t="s">
        <v>203</v>
      </c>
    </row>
    <row r="15" spans="1:14" x14ac:dyDescent="0.25">
      <c r="B15" s="69" t="s">
        <v>204</v>
      </c>
    </row>
    <row r="16" spans="1:14" x14ac:dyDescent="0.25">
      <c r="B16" s="69" t="s">
        <v>26</v>
      </c>
      <c r="C16" s="62" t="s">
        <v>92</v>
      </c>
      <c r="D16" s="62" t="s">
        <v>93</v>
      </c>
      <c r="E16" s="62" t="s">
        <v>205</v>
      </c>
      <c r="F16" s="62"/>
      <c r="J16" s="69" t="s">
        <v>8</v>
      </c>
      <c r="K16" s="62" t="s">
        <v>92</v>
      </c>
      <c r="L16" s="62" t="s">
        <v>93</v>
      </c>
      <c r="M16" s="62" t="s">
        <v>205</v>
      </c>
      <c r="N16" s="62"/>
    </row>
    <row r="17" spans="1:14" x14ac:dyDescent="0.25">
      <c r="A17" s="63" t="s">
        <v>95</v>
      </c>
      <c r="B17" s="62" t="s">
        <v>70</v>
      </c>
      <c r="C17" s="62">
        <v>0</v>
      </c>
      <c r="D17" s="62">
        <v>93</v>
      </c>
      <c r="E17" s="62">
        <f>'Forecasted Capacities'!J3</f>
        <v>2208.25</v>
      </c>
      <c r="F17" s="62"/>
      <c r="J17" s="62" t="s">
        <v>68</v>
      </c>
      <c r="K17" s="62">
        <v>56.8</v>
      </c>
      <c r="L17" s="62">
        <v>0</v>
      </c>
      <c r="M17" s="62">
        <f>'Forecasted Capacities'!B5</f>
        <v>1</v>
      </c>
      <c r="N17" s="63" t="s">
        <v>206</v>
      </c>
    </row>
    <row r="18" spans="1:14" x14ac:dyDescent="0.25">
      <c r="B18" s="62" t="s">
        <v>73</v>
      </c>
      <c r="C18" s="62">
        <v>56.8</v>
      </c>
      <c r="D18" s="62">
        <v>93</v>
      </c>
      <c r="E18" s="62">
        <f>'Forecasted Capacities'!J5</f>
        <v>4320</v>
      </c>
      <c r="F18" s="62"/>
      <c r="J18" s="62" t="s">
        <v>66</v>
      </c>
      <c r="K18" s="62">
        <v>275.39999999999998</v>
      </c>
      <c r="L18" s="62">
        <v>93</v>
      </c>
      <c r="M18" s="62">
        <f>'Forecasted Capacities'!B4</f>
        <v>10890</v>
      </c>
      <c r="N18" s="62"/>
    </row>
    <row r="19" spans="1:14" x14ac:dyDescent="0.25">
      <c r="B19" s="62" t="s">
        <v>68</v>
      </c>
      <c r="C19" s="62">
        <v>56.8</v>
      </c>
      <c r="D19" s="62">
        <v>0</v>
      </c>
      <c r="E19" s="62">
        <f>'Forecasted Capacities'!J4</f>
        <v>31568.794900000001</v>
      </c>
      <c r="F19" s="62"/>
      <c r="J19" s="62" t="s">
        <v>64</v>
      </c>
      <c r="K19" s="62">
        <v>190</v>
      </c>
      <c r="L19" s="62">
        <v>93</v>
      </c>
      <c r="M19" s="62">
        <f>'Forecasted Capacities'!B3</f>
        <v>29044.472612035501</v>
      </c>
      <c r="N19" s="62"/>
    </row>
    <row r="20" spans="1:14" x14ac:dyDescent="0.25">
      <c r="B20" s="62" t="s">
        <v>96</v>
      </c>
      <c r="C20" s="62">
        <v>97.8</v>
      </c>
      <c r="D20" s="62">
        <v>93</v>
      </c>
      <c r="E20" s="62">
        <f>'Forecasted Capacities'!J6</f>
        <v>6000</v>
      </c>
      <c r="F20" s="62"/>
      <c r="J20" s="62" t="s">
        <v>96</v>
      </c>
      <c r="K20" s="62">
        <v>97.8</v>
      </c>
      <c r="L20" s="62">
        <v>93</v>
      </c>
      <c r="M20" s="62">
        <f>'Forecasted Capacities'!B6</f>
        <v>6000</v>
      </c>
      <c r="N20" s="62"/>
    </row>
    <row r="22" spans="1:14" x14ac:dyDescent="0.25">
      <c r="E22" s="73">
        <f>SUM(E17:E20)</f>
        <v>44097.044900000001</v>
      </c>
      <c r="M22" s="73">
        <f>SUM(M17:M20)</f>
        <v>45935.472612035504</v>
      </c>
    </row>
    <row r="23" spans="1:14" x14ac:dyDescent="0.25">
      <c r="B23" s="69" t="s">
        <v>97</v>
      </c>
    </row>
    <row r="24" spans="1:14" ht="15.75" x14ac:dyDescent="0.25">
      <c r="B24" s="54"/>
      <c r="C24" s="62" t="s">
        <v>98</v>
      </c>
      <c r="E24" s="62">
        <f>'5. Current tariff method 20'!B13+'5. Current tariff method 20'!B14</f>
        <v>320.59471141603149</v>
      </c>
    </row>
    <row r="25" spans="1:14" x14ac:dyDescent="0.25">
      <c r="A25" s="63" t="s">
        <v>99</v>
      </c>
      <c r="C25" s="62" t="s">
        <v>105</v>
      </c>
      <c r="E25" s="62">
        <f>'5. Current tariff method 20'!B13</f>
        <v>96.178413424809463</v>
      </c>
    </row>
    <row r="26" spans="1:14" x14ac:dyDescent="0.25">
      <c r="A26" s="63" t="s">
        <v>101</v>
      </c>
      <c r="C26" s="62" t="s">
        <v>102</v>
      </c>
      <c r="D26" s="62"/>
      <c r="E26" s="62">
        <v>0</v>
      </c>
    </row>
    <row r="27" spans="1:14" x14ac:dyDescent="0.25">
      <c r="A27" s="63" t="s">
        <v>101</v>
      </c>
      <c r="C27" s="62" t="s">
        <v>207</v>
      </c>
      <c r="D27" s="62"/>
      <c r="E27" s="62">
        <f>E25*E26</f>
        <v>0</v>
      </c>
    </row>
    <row r="28" spans="1:14" x14ac:dyDescent="0.25">
      <c r="C28" s="62" t="s">
        <v>208</v>
      </c>
      <c r="D28" s="62"/>
      <c r="E28" s="62">
        <f>E25-E27</f>
        <v>96.178413424809463</v>
      </c>
    </row>
    <row r="29" spans="1:14" x14ac:dyDescent="0.25">
      <c r="C29" s="62"/>
      <c r="E29" s="73"/>
    </row>
    <row r="32" spans="1:14" x14ac:dyDescent="0.25">
      <c r="B32" s="68" t="s">
        <v>106</v>
      </c>
      <c r="C32" s="62"/>
      <c r="D32" s="62"/>
      <c r="E32" s="62"/>
      <c r="F32" s="62"/>
      <c r="G32" s="62"/>
      <c r="H32" s="62"/>
      <c r="J32" s="68" t="s">
        <v>107</v>
      </c>
    </row>
    <row r="33" spans="2:14" x14ac:dyDescent="0.25">
      <c r="B33" s="69" t="s">
        <v>108</v>
      </c>
      <c r="C33" s="69" t="s">
        <v>8</v>
      </c>
      <c r="D33" s="62"/>
      <c r="E33" s="62"/>
      <c r="F33" s="62"/>
      <c r="G33" s="62"/>
      <c r="H33" s="62"/>
      <c r="J33" s="69" t="s">
        <v>209</v>
      </c>
      <c r="K33" s="62" t="s">
        <v>26</v>
      </c>
    </row>
    <row r="34" spans="2:14" x14ac:dyDescent="0.25">
      <c r="B34" s="69" t="s">
        <v>26</v>
      </c>
      <c r="C34" s="62" t="s">
        <v>68</v>
      </c>
      <c r="D34" s="62" t="s">
        <v>66</v>
      </c>
      <c r="E34" s="62" t="s">
        <v>64</v>
      </c>
      <c r="F34" s="62" t="s">
        <v>96</v>
      </c>
      <c r="G34" s="62"/>
      <c r="H34" s="62"/>
      <c r="J34" s="62" t="s">
        <v>8</v>
      </c>
      <c r="K34" s="62" t="s">
        <v>70</v>
      </c>
      <c r="L34" s="62" t="s">
        <v>73</v>
      </c>
      <c r="M34" s="62" t="s">
        <v>68</v>
      </c>
      <c r="N34" s="62" t="s">
        <v>96</v>
      </c>
    </row>
    <row r="35" spans="2:14" x14ac:dyDescent="0.25">
      <c r="B35" s="62" t="s">
        <v>70</v>
      </c>
      <c r="C35" s="62">
        <f>ABS(C19-C17)+ABS(D17-D19)</f>
        <v>149.80000000000001</v>
      </c>
      <c r="D35" s="62">
        <f>ABS(K18-C17)+ABS(L18-D17)</f>
        <v>275.39999999999998</v>
      </c>
      <c r="E35" s="62">
        <f>ABS(K19-C17)+ABS(L19-D17)</f>
        <v>190</v>
      </c>
      <c r="F35" s="62">
        <f>ABS(K20-C17)+ABS(L20-D17)</f>
        <v>97.8</v>
      </c>
      <c r="G35" s="62"/>
      <c r="H35" s="62"/>
      <c r="J35" s="62" t="s">
        <v>68</v>
      </c>
      <c r="K35" s="62">
        <f t="shared" ref="K35:L38" si="0">$M17</f>
        <v>1</v>
      </c>
      <c r="L35" s="62">
        <f t="shared" si="0"/>
        <v>1</v>
      </c>
      <c r="M35" s="62">
        <v>0</v>
      </c>
      <c r="N35" s="62">
        <f>$M17</f>
        <v>1</v>
      </c>
    </row>
    <row r="36" spans="2:14" x14ac:dyDescent="0.25">
      <c r="B36" s="62" t="s">
        <v>73</v>
      </c>
      <c r="C36" s="62">
        <f>ABS(C18-C19)+ABS(D18-D19)</f>
        <v>93</v>
      </c>
      <c r="D36" s="62">
        <f>ABS(K18-C18)+ABS(L18-D18)</f>
        <v>218.59999999999997</v>
      </c>
      <c r="E36" s="62">
        <f>ABS(K19-C18)+ABS(L19-D18)</f>
        <v>133.19999999999999</v>
      </c>
      <c r="F36" s="62">
        <f>ABS(K20-C18)+ABS(L20-D18)</f>
        <v>41</v>
      </c>
      <c r="G36" s="62"/>
      <c r="H36" s="62"/>
      <c r="J36" s="62" t="s">
        <v>66</v>
      </c>
      <c r="K36" s="62">
        <f t="shared" si="0"/>
        <v>10890</v>
      </c>
      <c r="L36" s="62">
        <f t="shared" si="0"/>
        <v>10890</v>
      </c>
      <c r="M36" s="62">
        <f>$M18</f>
        <v>10890</v>
      </c>
      <c r="N36" s="62">
        <f>$M18</f>
        <v>10890</v>
      </c>
    </row>
    <row r="37" spans="2:14" x14ac:dyDescent="0.25">
      <c r="B37" s="62" t="s">
        <v>68</v>
      </c>
      <c r="C37" s="62">
        <v>0</v>
      </c>
      <c r="D37" s="62">
        <f>ABS(K18-K17)+ABS(L18-L17)</f>
        <v>311.59999999999997</v>
      </c>
      <c r="E37" s="62">
        <f>ABS(K19-K17)+ABS(L19-L17)</f>
        <v>226.2</v>
      </c>
      <c r="F37" s="62">
        <f>ABS(K20-K17)+ABS(L20-L17)</f>
        <v>134</v>
      </c>
      <c r="G37" s="62"/>
      <c r="H37" s="62"/>
      <c r="I37" s="69"/>
      <c r="J37" s="62" t="s">
        <v>64</v>
      </c>
      <c r="K37" s="62">
        <f t="shared" si="0"/>
        <v>29044.472612035501</v>
      </c>
      <c r="L37" s="62">
        <f t="shared" si="0"/>
        <v>29044.472612035501</v>
      </c>
      <c r="M37" s="62">
        <f>$M19</f>
        <v>29044.472612035501</v>
      </c>
      <c r="N37" s="62">
        <f>$M19</f>
        <v>29044.472612035501</v>
      </c>
    </row>
    <row r="38" spans="2:14" x14ac:dyDescent="0.25">
      <c r="B38" s="62" t="s">
        <v>96</v>
      </c>
      <c r="C38" s="62">
        <f>ABS(C20-C19)+ABS(D20-D19)</f>
        <v>134</v>
      </c>
      <c r="D38" s="62">
        <f>ABS(K18-K20)+ABS(L18-L20)</f>
        <v>177.59999999999997</v>
      </c>
      <c r="E38" s="62">
        <f>ABS(K19-K20)+ABS(L19-L20)</f>
        <v>92.2</v>
      </c>
      <c r="F38" s="62">
        <v>0</v>
      </c>
      <c r="G38" s="62"/>
      <c r="H38" s="62"/>
      <c r="J38" s="62" t="s">
        <v>96</v>
      </c>
      <c r="K38" s="62">
        <f t="shared" si="0"/>
        <v>6000</v>
      </c>
      <c r="L38" s="62">
        <f t="shared" si="0"/>
        <v>6000</v>
      </c>
      <c r="M38" s="62">
        <f>$M20</f>
        <v>6000</v>
      </c>
      <c r="N38" s="62">
        <v>0</v>
      </c>
    </row>
    <row r="39" spans="2:14" x14ac:dyDescent="0.25">
      <c r="J39" s="62"/>
      <c r="K39" s="62"/>
      <c r="L39" s="62"/>
      <c r="M39" s="62"/>
      <c r="N39" s="62"/>
    </row>
    <row r="40" spans="2:14" x14ac:dyDescent="0.25">
      <c r="J40" s="70" t="s">
        <v>14</v>
      </c>
      <c r="K40" s="70">
        <f>SUM(K35:K38)</f>
        <v>45935.472612035504</v>
      </c>
      <c r="L40" s="70">
        <f t="shared" ref="L40:N40" si="1">SUM(L35:L38)</f>
        <v>45935.472612035504</v>
      </c>
      <c r="M40" s="70">
        <f t="shared" si="1"/>
        <v>45934.472612035504</v>
      </c>
      <c r="N40" s="70">
        <f t="shared" si="1"/>
        <v>39935.472612035504</v>
      </c>
    </row>
    <row r="42" spans="2:14" x14ac:dyDescent="0.25">
      <c r="B42" s="68" t="s">
        <v>110</v>
      </c>
      <c r="C42" s="68"/>
      <c r="D42" s="68"/>
      <c r="E42" s="68" t="s">
        <v>111</v>
      </c>
      <c r="F42" s="68"/>
      <c r="G42" s="68"/>
      <c r="H42" s="68"/>
      <c r="I42" s="68"/>
      <c r="J42" s="68" t="s">
        <v>193</v>
      </c>
      <c r="K42" s="68"/>
    </row>
    <row r="43" spans="2:14" x14ac:dyDescent="0.25">
      <c r="B43" s="62"/>
      <c r="C43" s="69" t="s">
        <v>115</v>
      </c>
      <c r="D43" s="69"/>
      <c r="E43" s="69" t="s">
        <v>116</v>
      </c>
      <c r="F43" s="62"/>
      <c r="G43" s="62"/>
      <c r="H43" s="69"/>
      <c r="I43" s="62"/>
      <c r="J43" s="69" t="s">
        <v>210</v>
      </c>
      <c r="K43" s="69" t="s">
        <v>8</v>
      </c>
    </row>
    <row r="44" spans="2:14" x14ac:dyDescent="0.25">
      <c r="B44" s="62" t="s">
        <v>70</v>
      </c>
      <c r="C44" s="62">
        <f>MMULT(C35:F35,K35:K38)/K40</f>
        <v>198.20206647664449</v>
      </c>
      <c r="D44" s="62"/>
      <c r="E44" s="62">
        <f>SUMPRODUCT(C44:C47,E17:E20)</f>
        <v>9141293.2503471766</v>
      </c>
      <c r="F44" s="62"/>
      <c r="G44" s="62"/>
      <c r="H44" s="62"/>
      <c r="I44" s="62"/>
      <c r="J44" s="69" t="s">
        <v>26</v>
      </c>
      <c r="K44" s="62" t="s">
        <v>68</v>
      </c>
      <c r="L44" s="62" t="s">
        <v>66</v>
      </c>
      <c r="M44" s="62" t="s">
        <v>64</v>
      </c>
      <c r="N44" s="62" t="s">
        <v>96</v>
      </c>
    </row>
    <row r="45" spans="2:14" x14ac:dyDescent="0.25">
      <c r="B45" s="62" t="s">
        <v>73</v>
      </c>
      <c r="C45" s="62">
        <f>MMULT(C36:F36,L35:L38)/L40</f>
        <v>141.40206647664451</v>
      </c>
      <c r="D45" s="62"/>
      <c r="E45" s="62"/>
      <c r="F45" s="62"/>
      <c r="G45" s="62"/>
      <c r="H45" s="62"/>
      <c r="I45" s="62"/>
      <c r="J45" s="62" t="s">
        <v>70</v>
      </c>
      <c r="K45" s="62">
        <f t="shared" ref="K45:N46" si="2">$E17</f>
        <v>2208.25</v>
      </c>
      <c r="L45" s="62">
        <f t="shared" si="2"/>
        <v>2208.25</v>
      </c>
      <c r="M45" s="62">
        <f t="shared" si="2"/>
        <v>2208.25</v>
      </c>
      <c r="N45" s="62">
        <f t="shared" si="2"/>
        <v>2208.25</v>
      </c>
    </row>
    <row r="46" spans="2:14" x14ac:dyDescent="0.25">
      <c r="B46" s="62" t="s">
        <v>68</v>
      </c>
      <c r="C46" s="62">
        <f>MMULT(C37:F37,M35:M38)/M40</f>
        <v>234.40312019651381</v>
      </c>
      <c r="D46" s="62"/>
      <c r="E46" s="62"/>
      <c r="F46" s="62"/>
      <c r="G46" s="62"/>
      <c r="H46" s="62"/>
      <c r="I46" s="62"/>
      <c r="J46" s="62" t="s">
        <v>73</v>
      </c>
      <c r="K46" s="62">
        <f t="shared" si="2"/>
        <v>4320</v>
      </c>
      <c r="L46" s="62">
        <f t="shared" si="2"/>
        <v>4320</v>
      </c>
      <c r="M46" s="62">
        <f t="shared" si="2"/>
        <v>4320</v>
      </c>
      <c r="N46" s="62">
        <f t="shared" si="2"/>
        <v>4320</v>
      </c>
    </row>
    <row r="47" spans="2:14" x14ac:dyDescent="0.25">
      <c r="B47" s="62" t="s">
        <v>96</v>
      </c>
      <c r="C47" s="62">
        <f>MMULT(C38:F38,N35:N38)/N40</f>
        <v>115.48876407787164</v>
      </c>
      <c r="D47" s="62"/>
      <c r="E47" s="62"/>
      <c r="F47" s="62"/>
      <c r="G47" s="62"/>
      <c r="H47" s="62"/>
      <c r="I47" s="62"/>
      <c r="J47" s="62" t="s">
        <v>68</v>
      </c>
      <c r="K47" s="62">
        <f>$P35</f>
        <v>0</v>
      </c>
      <c r="L47" s="62">
        <f>$E19</f>
        <v>31568.794900000001</v>
      </c>
      <c r="M47" s="62">
        <f>$E19</f>
        <v>31568.794900000001</v>
      </c>
      <c r="N47" s="62">
        <f>$E19</f>
        <v>31568.794900000001</v>
      </c>
    </row>
    <row r="48" spans="2:14" x14ac:dyDescent="0.25">
      <c r="J48" s="62" t="s">
        <v>96</v>
      </c>
      <c r="K48" s="62">
        <f>$E20</f>
        <v>6000</v>
      </c>
      <c r="L48" s="62">
        <f>$E20</f>
        <v>6000</v>
      </c>
      <c r="M48" s="62">
        <f>$E20</f>
        <v>6000</v>
      </c>
      <c r="N48" s="62">
        <v>0</v>
      </c>
    </row>
    <row r="49" spans="2:14" x14ac:dyDescent="0.25">
      <c r="J49" s="62"/>
      <c r="K49" s="62"/>
      <c r="L49" s="62"/>
      <c r="M49" s="62"/>
      <c r="N49" s="62"/>
    </row>
    <row r="50" spans="2:14" x14ac:dyDescent="0.25">
      <c r="J50" s="70" t="s">
        <v>14</v>
      </c>
      <c r="K50" s="70">
        <f>SUM(K45:K48)</f>
        <v>12528.25</v>
      </c>
      <c r="L50" s="70">
        <f t="shared" ref="L50:N50" si="3">SUM(L45:L48)</f>
        <v>44097.044900000001</v>
      </c>
      <c r="M50" s="70">
        <f t="shared" si="3"/>
        <v>44097.044900000001</v>
      </c>
      <c r="N50" s="70">
        <f t="shared" si="3"/>
        <v>38097.044900000001</v>
      </c>
    </row>
    <row r="52" spans="2:14" x14ac:dyDescent="0.25">
      <c r="B52" s="68" t="s">
        <v>194</v>
      </c>
      <c r="C52" s="68"/>
      <c r="D52" s="68"/>
      <c r="E52" s="68" t="s">
        <v>195</v>
      </c>
      <c r="F52" s="68"/>
      <c r="G52" s="68"/>
      <c r="H52" s="68"/>
      <c r="I52" s="68"/>
    </row>
    <row r="53" spans="2:14" x14ac:dyDescent="0.25">
      <c r="B53" s="62"/>
      <c r="C53" s="69" t="s">
        <v>122</v>
      </c>
      <c r="D53" s="69"/>
      <c r="E53" s="69" t="s">
        <v>116</v>
      </c>
      <c r="F53" s="69"/>
      <c r="G53" s="69"/>
      <c r="H53" s="69"/>
    </row>
    <row r="54" spans="2:14" x14ac:dyDescent="0.25">
      <c r="B54" s="62" t="s">
        <v>68</v>
      </c>
      <c r="C54" s="62">
        <f>SUMPRODUCT(K45:K48,C35:C38)/K50</f>
        <v>122.64728513559356</v>
      </c>
      <c r="E54" s="62">
        <f>SUMPRODUCT(C54:C57,M17:M20)</f>
        <v>9527108.2122002319</v>
      </c>
      <c r="F54" s="62"/>
      <c r="G54" s="62"/>
      <c r="H54" s="62"/>
    </row>
    <row r="55" spans="2:14" x14ac:dyDescent="0.25">
      <c r="B55" s="62" t="s">
        <v>66</v>
      </c>
      <c r="C55" s="62">
        <f>SUMPRODUCT(L45:L48,D35:D38)/L50</f>
        <v>282.44388187653817</v>
      </c>
      <c r="E55" s="62"/>
      <c r="F55" s="62"/>
      <c r="G55" s="62"/>
      <c r="H55" s="62"/>
    </row>
    <row r="56" spans="2:14" x14ac:dyDescent="0.25">
      <c r="B56" s="62" t="s">
        <v>64</v>
      </c>
      <c r="C56" s="62">
        <f>SUMPRODUCT(M45:M48,E35:E38)/M50</f>
        <v>197.04388187653817</v>
      </c>
      <c r="E56" s="62"/>
      <c r="F56" s="62"/>
      <c r="G56" s="62"/>
      <c r="H56" s="62"/>
    </row>
    <row r="57" spans="2:14" x14ac:dyDescent="0.25">
      <c r="B57" s="62" t="s">
        <v>96</v>
      </c>
      <c r="C57" s="62">
        <f>SUMPRODUCT(N45:N48,F35:F38)/N50</f>
        <v>121.35601012455429</v>
      </c>
      <c r="E57" s="62"/>
      <c r="F57" s="62"/>
      <c r="G57" s="62"/>
      <c r="H57" s="62"/>
    </row>
    <row r="62" spans="2:14" x14ac:dyDescent="0.25">
      <c r="B62" s="68" t="s">
        <v>211</v>
      </c>
      <c r="C62" s="68"/>
      <c r="D62" s="68"/>
      <c r="E62" s="68"/>
      <c r="F62" s="68"/>
      <c r="G62" s="68"/>
      <c r="H62" s="68"/>
      <c r="I62" s="68"/>
    </row>
    <row r="63" spans="2:14" x14ac:dyDescent="0.25">
      <c r="B63" s="69" t="s">
        <v>212</v>
      </c>
      <c r="C63" s="69"/>
      <c r="G63" s="69"/>
      <c r="H63" s="69"/>
    </row>
    <row r="64" spans="2:14" x14ac:dyDescent="0.25">
      <c r="B64" s="69" t="s">
        <v>8</v>
      </c>
      <c r="C64" s="62" t="s">
        <v>68</v>
      </c>
      <c r="D64" s="62" t="s">
        <v>66</v>
      </c>
      <c r="E64" s="62" t="s">
        <v>64</v>
      </c>
      <c r="F64" s="62" t="s">
        <v>96</v>
      </c>
      <c r="G64" s="62"/>
      <c r="H64" s="62"/>
    </row>
    <row r="65" spans="1:16" x14ac:dyDescent="0.25">
      <c r="B65" s="62"/>
      <c r="C65" s="135">
        <f>$E$28/($M$22-$M$20)</f>
        <v>2.4083454416368622E-3</v>
      </c>
      <c r="D65" s="135">
        <f t="shared" ref="D65:F65" si="4">$E$28/($M$22-$M$20)</f>
        <v>2.4083454416368622E-3</v>
      </c>
      <c r="E65" s="135">
        <f t="shared" si="4"/>
        <v>2.4083454416368622E-3</v>
      </c>
      <c r="F65" s="135">
        <f t="shared" si="4"/>
        <v>2.4083454416368622E-3</v>
      </c>
      <c r="G65" s="62"/>
      <c r="H65" s="62"/>
    </row>
    <row r="66" spans="1:16" x14ac:dyDescent="0.25">
      <c r="B66" s="62"/>
      <c r="C66" s="62"/>
      <c r="E66" s="62"/>
      <c r="F66" s="62"/>
      <c r="G66" s="62"/>
      <c r="H66" s="62"/>
    </row>
    <row r="67" spans="1:16" x14ac:dyDescent="0.25">
      <c r="B67" s="69" t="s">
        <v>213</v>
      </c>
      <c r="C67" s="62"/>
      <c r="E67" s="62"/>
      <c r="F67" s="62"/>
      <c r="G67" s="62"/>
      <c r="H67" s="62"/>
    </row>
    <row r="68" spans="1:16" x14ac:dyDescent="0.25">
      <c r="B68" s="62" t="s">
        <v>70</v>
      </c>
      <c r="C68" s="62">
        <f>$E$27/($E$22-$E$20)</f>
        <v>0</v>
      </c>
    </row>
    <row r="69" spans="1:16" x14ac:dyDescent="0.25">
      <c r="B69" s="62" t="s">
        <v>73</v>
      </c>
      <c r="C69" s="62">
        <f t="shared" ref="C69:C71" si="5">$E$27/($E$22-$E$20)</f>
        <v>0</v>
      </c>
      <c r="D69" s="68"/>
      <c r="E69" s="68"/>
      <c r="F69" s="68"/>
      <c r="G69" s="68"/>
      <c r="L69" s="68"/>
      <c r="N69" s="68"/>
      <c r="O69" s="68"/>
    </row>
    <row r="70" spans="1:16" x14ac:dyDescent="0.25">
      <c r="B70" s="62" t="s">
        <v>68</v>
      </c>
      <c r="C70" s="62">
        <f t="shared" si="5"/>
        <v>0</v>
      </c>
    </row>
    <row r="71" spans="1:16" x14ac:dyDescent="0.25">
      <c r="B71" s="62" t="s">
        <v>96</v>
      </c>
      <c r="C71" s="62">
        <f t="shared" si="5"/>
        <v>0</v>
      </c>
      <c r="D71" s="69"/>
      <c r="E71" s="69"/>
      <c r="F71" s="69"/>
      <c r="L71" s="69"/>
      <c r="N71" s="69"/>
      <c r="O71" s="69"/>
    </row>
    <row r="72" spans="1:16" x14ac:dyDescent="0.25">
      <c r="B72" s="62"/>
      <c r="C72" s="62"/>
      <c r="D72" s="62"/>
      <c r="E72" s="62"/>
      <c r="F72" s="62"/>
      <c r="G72" s="62"/>
      <c r="L72" s="62"/>
      <c r="M72" s="62"/>
      <c r="N72" s="62"/>
      <c r="O72" s="62"/>
      <c r="P72" s="62"/>
    </row>
    <row r="73" spans="1:16" x14ac:dyDescent="0.25">
      <c r="B73" s="62"/>
      <c r="C73" s="62"/>
      <c r="D73" s="62"/>
      <c r="E73" s="62"/>
      <c r="F73" s="62"/>
      <c r="G73" s="62"/>
      <c r="J73" s="62"/>
      <c r="K73" s="62"/>
      <c r="L73" s="62"/>
      <c r="M73" s="62"/>
      <c r="N73" s="62"/>
      <c r="O73" s="62"/>
      <c r="P73" s="62"/>
    </row>
    <row r="74" spans="1:16" ht="18.75" x14ac:dyDescent="0.3">
      <c r="A74" s="58" t="s">
        <v>214</v>
      </c>
      <c r="B74" s="62"/>
      <c r="C74" s="62"/>
      <c r="D74" s="62"/>
      <c r="E74" s="62"/>
      <c r="F74" s="62"/>
      <c r="G74" s="62"/>
      <c r="J74" s="62"/>
      <c r="K74" s="62"/>
      <c r="L74" s="62"/>
      <c r="M74" s="62"/>
      <c r="N74" s="62"/>
      <c r="O74" s="62"/>
      <c r="P74" s="62"/>
    </row>
    <row r="75" spans="1:16" x14ac:dyDescent="0.25">
      <c r="B75" s="62"/>
      <c r="C75" s="62"/>
      <c r="D75" s="62"/>
      <c r="E75" s="62"/>
      <c r="F75" s="62"/>
      <c r="G75" s="62"/>
      <c r="J75" s="62"/>
      <c r="K75" s="62"/>
      <c r="L75" s="62"/>
      <c r="M75" s="62"/>
      <c r="N75" s="62"/>
      <c r="O75" s="62"/>
      <c r="P75" s="62"/>
    </row>
    <row r="76" spans="1:16" x14ac:dyDescent="0.25">
      <c r="B76" s="68" t="s">
        <v>215</v>
      </c>
      <c r="J76" s="68" t="s">
        <v>153</v>
      </c>
      <c r="N76" s="62"/>
      <c r="O76" s="62"/>
      <c r="P76" s="62"/>
    </row>
    <row r="77" spans="1:16" x14ac:dyDescent="0.25">
      <c r="B77" s="69" t="s">
        <v>154</v>
      </c>
      <c r="C77" s="69" t="s">
        <v>155</v>
      </c>
      <c r="D77" s="69" t="s">
        <v>156</v>
      </c>
      <c r="E77" s="69" t="s">
        <v>156</v>
      </c>
      <c r="F77" s="69" t="s">
        <v>155</v>
      </c>
      <c r="G77" s="74"/>
      <c r="J77" s="75" t="s">
        <v>157</v>
      </c>
      <c r="K77" s="75"/>
      <c r="L77" s="75"/>
      <c r="O77" s="73"/>
    </row>
    <row r="78" spans="1:16" x14ac:dyDescent="0.25">
      <c r="B78" s="62"/>
      <c r="C78" s="62" t="s">
        <v>64</v>
      </c>
      <c r="D78" s="62" t="s">
        <v>68</v>
      </c>
      <c r="E78" s="62" t="s">
        <v>66</v>
      </c>
      <c r="F78" s="62" t="s">
        <v>96</v>
      </c>
      <c r="G78" s="74"/>
      <c r="J78" s="74"/>
      <c r="K78" s="69" t="s">
        <v>158</v>
      </c>
      <c r="L78" s="69" t="s">
        <v>159</v>
      </c>
    </row>
    <row r="79" spans="1:16" x14ac:dyDescent="0.25">
      <c r="B79" s="69" t="s">
        <v>216</v>
      </c>
      <c r="C79" s="62">
        <f>M19</f>
        <v>29044.472612035501</v>
      </c>
      <c r="D79" s="62">
        <f>M17</f>
        <v>1</v>
      </c>
      <c r="E79" s="62">
        <f>M18</f>
        <v>10890</v>
      </c>
      <c r="F79" s="62">
        <f>M20</f>
        <v>6000</v>
      </c>
      <c r="G79" s="74"/>
      <c r="J79" s="76" t="s">
        <v>70</v>
      </c>
      <c r="K79" s="62">
        <f>(K37*E35+K38*F35)/SUM(K37,K38)</f>
        <v>174.21434369624347</v>
      </c>
      <c r="L79" s="62">
        <f>(K35*C35+K36*D35)/SUM(K35,K36)</f>
        <v>275.38846754200711</v>
      </c>
    </row>
    <row r="80" spans="1:16" x14ac:dyDescent="0.25">
      <c r="B80" s="69" t="s">
        <v>161</v>
      </c>
      <c r="C80" s="62">
        <f>C79*C56</f>
        <v>5723035.6305322712</v>
      </c>
      <c r="D80" s="62">
        <f>D79*C54</f>
        <v>122.64728513559356</v>
      </c>
      <c r="E80" s="62">
        <f>E79*C55</f>
        <v>3075813.8736355007</v>
      </c>
      <c r="F80" s="62">
        <f>F79*C57</f>
        <v>728136.06074732577</v>
      </c>
      <c r="G80" s="74"/>
      <c r="J80" s="76" t="s">
        <v>73</v>
      </c>
      <c r="K80" s="62">
        <f>(L37*E36+L38*F36)/SUM(L37,L38)</f>
        <v>117.41434369624349</v>
      </c>
      <c r="L80" s="62">
        <f>(L36*C36+L37*D36)/SUM(L36,L37)</f>
        <v>184.34929101260303</v>
      </c>
      <c r="N80" s="68"/>
      <c r="O80" s="68"/>
    </row>
    <row r="81" spans="2:16" x14ac:dyDescent="0.25">
      <c r="J81" s="76" t="s">
        <v>68</v>
      </c>
      <c r="K81" s="62">
        <f>(M37*E37+M38*F37)/SUM(M37,M38)</f>
        <v>210.41434369624346</v>
      </c>
      <c r="L81" s="62">
        <f>(M37*C37+M38*D37)/SUM(M37,M38)</f>
        <v>53.349354709875513</v>
      </c>
    </row>
    <row r="82" spans="2:16" x14ac:dyDescent="0.25">
      <c r="C82" s="62" t="s">
        <v>162</v>
      </c>
      <c r="J82" s="76" t="s">
        <v>96</v>
      </c>
      <c r="K82" s="62">
        <f>(N37*E38+N38*F38)/SUM(N37,N38)</f>
        <v>92.2</v>
      </c>
      <c r="L82" s="62">
        <f>(N35*C38+N36*D38)/SUM(N35,N36)</f>
        <v>177.59599669451836</v>
      </c>
      <c r="N82" s="69"/>
      <c r="O82" s="69"/>
    </row>
    <row r="83" spans="2:16" x14ac:dyDescent="0.25">
      <c r="B83" s="68" t="s">
        <v>163</v>
      </c>
      <c r="J83" s="68" t="s">
        <v>164</v>
      </c>
      <c r="K83" s="62"/>
      <c r="L83" s="62"/>
      <c r="N83" s="62"/>
      <c r="O83" s="62"/>
      <c r="P83" s="62"/>
    </row>
    <row r="84" spans="2:16" ht="34.5" x14ac:dyDescent="0.25">
      <c r="C84" s="76" t="s">
        <v>165</v>
      </c>
      <c r="D84" s="76" t="s">
        <v>166</v>
      </c>
      <c r="E84" s="76" t="s">
        <v>167</v>
      </c>
      <c r="F84" s="76" t="s">
        <v>168</v>
      </c>
      <c r="G84" s="76" t="s">
        <v>169</v>
      </c>
      <c r="J84" s="76" t="s">
        <v>170</v>
      </c>
      <c r="K84" s="62">
        <f>SUMPRODUCT(C85:C88,C68:C71)</f>
        <v>0</v>
      </c>
      <c r="L84" s="62"/>
      <c r="N84" s="62"/>
      <c r="O84" s="62"/>
      <c r="P84" s="62"/>
    </row>
    <row r="85" spans="2:16" ht="23.25" x14ac:dyDescent="0.25">
      <c r="B85" s="76" t="s">
        <v>70</v>
      </c>
      <c r="C85" s="62">
        <f>SUM($D$79:$E$79)/SUM($E$17:$E$20)*E17</f>
        <v>545.3891707378333</v>
      </c>
      <c r="D85" s="136" t="s">
        <v>171</v>
      </c>
      <c r="E85" s="62">
        <f>E17-C85</f>
        <v>1662.8608292621666</v>
      </c>
      <c r="F85" s="62">
        <f>C85*L79</f>
        <v>150193.88794349798</v>
      </c>
      <c r="G85" s="62">
        <f>E85*K79</f>
        <v>289694.20802809956</v>
      </c>
      <c r="J85" s="76" t="s">
        <v>172</v>
      </c>
      <c r="K85" s="62">
        <f>E27-K84</f>
        <v>0</v>
      </c>
      <c r="L85" s="62"/>
      <c r="N85" s="62"/>
      <c r="O85" s="62"/>
      <c r="P85" s="62"/>
    </row>
    <row r="86" spans="2:16" ht="23.25" x14ac:dyDescent="0.25">
      <c r="B86" s="76" t="s">
        <v>73</v>
      </c>
      <c r="C86" s="62">
        <f>SUM($D$79:$E$79)/SUM($E$17:$E$20)*E18</f>
        <v>1066.9449643778737</v>
      </c>
      <c r="D86" s="136" t="s">
        <v>171</v>
      </c>
      <c r="E86" s="62">
        <f t="shared" ref="E86:E87" si="6">E18-C86</f>
        <v>3253.0550356221265</v>
      </c>
      <c r="F86" s="62">
        <f>C86*L80</f>
        <v>196690.54773252801</v>
      </c>
      <c r="G86" s="62">
        <f>E86*K80</f>
        <v>381955.322015332</v>
      </c>
      <c r="J86" s="76" t="s">
        <v>173</v>
      </c>
      <c r="K86" s="62">
        <f>D79*C65+E79*D65</f>
        <v>26.229290204867066</v>
      </c>
      <c r="L86" s="62"/>
      <c r="N86" s="62"/>
      <c r="O86" s="62"/>
      <c r="P86" s="62"/>
    </row>
    <row r="87" spans="2:16" ht="23.25" x14ac:dyDescent="0.25">
      <c r="B87" s="76" t="s">
        <v>68</v>
      </c>
      <c r="C87" s="62">
        <f>SUM($D$79:$E$79)/SUM($E$17:$E$20)*E19</f>
        <v>7796.7978588039132</v>
      </c>
      <c r="D87" s="136" t="s">
        <v>171</v>
      </c>
      <c r="E87" s="62">
        <f t="shared" si="6"/>
        <v>23771.997041196089</v>
      </c>
      <c r="F87" s="62">
        <f>C87*L81</f>
        <v>415954.13457052788</v>
      </c>
      <c r="G87" s="62">
        <f>E87*K81</f>
        <v>5001969.1557723163</v>
      </c>
      <c r="J87" s="76" t="s">
        <v>174</v>
      </c>
      <c r="K87" s="62">
        <f>E28-K86</f>
        <v>69.949123219942393</v>
      </c>
      <c r="L87" s="62"/>
      <c r="N87" s="62"/>
      <c r="O87" s="62"/>
      <c r="P87" s="62"/>
    </row>
    <row r="88" spans="2:16" x14ac:dyDescent="0.25">
      <c r="B88" s="76" t="s">
        <v>96</v>
      </c>
      <c r="C88" s="62">
        <f>SUM($D$79:$E$79)/SUM($E$17:$E$20)*E20</f>
        <v>1481.8680060803802</v>
      </c>
      <c r="D88" s="136" t="s">
        <v>171</v>
      </c>
      <c r="E88" s="62">
        <f>E20-C88</f>
        <v>4518.1319939196201</v>
      </c>
      <c r="F88" s="62">
        <f>C88*L82</f>
        <v>263173.82550956373</v>
      </c>
      <c r="G88" s="62">
        <f>E88*K82</f>
        <v>416571.76983938896</v>
      </c>
      <c r="H88" s="69"/>
      <c r="J88" s="76" t="s">
        <v>175</v>
      </c>
      <c r="K88" s="62">
        <f>K85+K87</f>
        <v>69.949123219942393</v>
      </c>
      <c r="L88" s="62"/>
      <c r="O88" s="73"/>
    </row>
    <row r="89" spans="2:16" x14ac:dyDescent="0.25">
      <c r="B89" s="76"/>
      <c r="C89" s="62"/>
      <c r="D89" s="136"/>
      <c r="E89" s="62"/>
      <c r="F89" s="62"/>
      <c r="G89" s="62"/>
      <c r="J89" s="76" t="s">
        <v>176</v>
      </c>
      <c r="K89" s="62">
        <f>K84+K86</f>
        <v>26.229290204867066</v>
      </c>
      <c r="L89" s="62"/>
    </row>
    <row r="90" spans="2:16" x14ac:dyDescent="0.25">
      <c r="B90" s="76" t="s">
        <v>177</v>
      </c>
      <c r="C90" s="62">
        <f>SUM(C85:C88)</f>
        <v>10891</v>
      </c>
      <c r="D90" s="62"/>
      <c r="E90" s="62">
        <f>SUM(E85:E88)</f>
        <v>33206.044900000001</v>
      </c>
      <c r="F90" s="62">
        <f>SUM(F85:F88)</f>
        <v>1026012.3957561175</v>
      </c>
      <c r="G90" s="62">
        <f>SUM(G85:G88)</f>
        <v>6090190.4556551371</v>
      </c>
    </row>
    <row r="91" spans="2:16" x14ac:dyDescent="0.25">
      <c r="B91" s="76"/>
      <c r="C91" s="62"/>
      <c r="D91" s="62"/>
      <c r="E91" s="62"/>
      <c r="F91" s="62"/>
      <c r="G91" s="62"/>
    </row>
    <row r="92" spans="2:16" x14ac:dyDescent="0.25">
      <c r="B92" s="76" t="s">
        <v>178</v>
      </c>
      <c r="C92" s="62">
        <f>SUM(D79:E79)</f>
        <v>10891</v>
      </c>
      <c r="D92" s="62"/>
      <c r="E92" s="62"/>
      <c r="F92" s="62"/>
      <c r="G92" s="62"/>
    </row>
    <row r="93" spans="2:16" x14ac:dyDescent="0.25">
      <c r="B93" s="76"/>
      <c r="E93" s="62"/>
    </row>
    <row r="94" spans="2:16" x14ac:dyDescent="0.25">
      <c r="B94" s="76"/>
    </row>
    <row r="95" spans="2:16" x14ac:dyDescent="0.25">
      <c r="B95" s="68" t="s">
        <v>179</v>
      </c>
      <c r="J95" s="68" t="s">
        <v>180</v>
      </c>
    </row>
    <row r="96" spans="2:16" ht="23.25" x14ac:dyDescent="0.25">
      <c r="B96" s="76" t="s">
        <v>169</v>
      </c>
      <c r="C96" s="78"/>
      <c r="D96" s="62">
        <f>G90</f>
        <v>6090190.4556551371</v>
      </c>
      <c r="E96" s="62"/>
      <c r="J96" s="79" t="s">
        <v>181</v>
      </c>
      <c r="K96" s="80"/>
      <c r="L96" s="81"/>
    </row>
    <row r="97" spans="2:12" ht="23.25" x14ac:dyDescent="0.25">
      <c r="B97" s="76" t="s">
        <v>182</v>
      </c>
      <c r="C97" s="78"/>
      <c r="D97" s="62">
        <f>C80+F80</f>
        <v>6451171.6912795966</v>
      </c>
      <c r="E97" s="62"/>
      <c r="J97" s="82" t="s">
        <v>183</v>
      </c>
      <c r="K97" s="83">
        <f>K88*10^6/D98</f>
        <v>5.5774741531595788</v>
      </c>
      <c r="L97" s="84" t="s">
        <v>184</v>
      </c>
    </row>
    <row r="98" spans="2:12" ht="23.25" x14ac:dyDescent="0.25">
      <c r="B98" s="76" t="s">
        <v>185</v>
      </c>
      <c r="C98" s="78"/>
      <c r="D98" s="62">
        <f>SUM(D96:D97)</f>
        <v>12541362.146934733</v>
      </c>
      <c r="E98" s="62"/>
      <c r="J98" s="82" t="s">
        <v>186</v>
      </c>
      <c r="K98" s="83">
        <f>K89*10^6/D101</f>
        <v>6.3943483299438695</v>
      </c>
      <c r="L98" s="84" t="s">
        <v>187</v>
      </c>
    </row>
    <row r="99" spans="2:12" ht="23.25" x14ac:dyDescent="0.25">
      <c r="B99" s="76" t="s">
        <v>188</v>
      </c>
      <c r="C99" s="78"/>
      <c r="D99" s="62">
        <f>F90</f>
        <v>1026012.3957561175</v>
      </c>
      <c r="E99" s="62"/>
      <c r="J99" s="82" t="s">
        <v>189</v>
      </c>
      <c r="K99" s="85">
        <f>2*(ABS(K97-K98))/(K97+K98)</f>
        <v>0.13646613586815109</v>
      </c>
      <c r="L99" s="84" t="s">
        <v>190</v>
      </c>
    </row>
    <row r="100" spans="2:12" ht="23.25" x14ac:dyDescent="0.25">
      <c r="B100" s="76" t="s">
        <v>191</v>
      </c>
      <c r="C100" s="78"/>
      <c r="D100" s="62">
        <f>SUM(D80:E80)</f>
        <v>3075936.5209206361</v>
      </c>
      <c r="E100" s="62"/>
    </row>
    <row r="101" spans="2:12" ht="23.25" x14ac:dyDescent="0.25">
      <c r="B101" s="76" t="s">
        <v>192</v>
      </c>
      <c r="C101" s="78"/>
      <c r="D101" s="62">
        <f>SUM(D99:D100)</f>
        <v>4101948.9166767537</v>
      </c>
      <c r="E101" s="62"/>
    </row>
  </sheetData>
  <conditionalFormatting sqref="K99">
    <cfRule type="cellIs" dxfId="41" priority="1" operator="lessThan">
      <formula>0.1</formula>
    </cfRule>
    <cfRule type="cellIs" dxfId="40" priority="2" operator="greaterThan">
      <formula>0.1</formula>
    </cfRule>
  </conditionalFormatting>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L47"/>
  <sheetViews>
    <sheetView workbookViewId="0">
      <selection activeCell="L89" sqref="L89"/>
    </sheetView>
  </sheetViews>
  <sheetFormatPr defaultColWidth="9.140625" defaultRowHeight="15" x14ac:dyDescent="0.25"/>
  <cols>
    <col min="1" max="1" width="31.85546875" style="53" bestFit="1" customWidth="1"/>
    <col min="2" max="2" width="11.42578125" style="53" customWidth="1"/>
    <col min="3" max="3" width="12" style="53" customWidth="1"/>
    <col min="4" max="4" width="12.5703125" style="53" customWidth="1"/>
    <col min="5" max="5" width="12.42578125" style="53" customWidth="1"/>
    <col min="6" max="6" width="13.5703125" style="53" customWidth="1"/>
    <col min="7" max="7" width="9.140625" style="53"/>
    <col min="8" max="8" width="17.42578125" style="53" customWidth="1"/>
    <col min="9" max="9" width="15.42578125" style="53" customWidth="1"/>
    <col min="10" max="10" width="10.5703125" style="53" customWidth="1"/>
    <col min="11" max="11" width="20.85546875" style="53" customWidth="1"/>
    <col min="12" max="16384" width="9.140625" style="53"/>
  </cols>
  <sheetData>
    <row r="1" spans="1:12" ht="15.75" thickBot="1" x14ac:dyDescent="0.3">
      <c r="C1" s="137">
        <f>C4/$B$4</f>
        <v>3.0914974056588964E-2</v>
      </c>
      <c r="D1" s="137">
        <f>D4/$B$4</f>
        <v>9.7897417845865059E-2</v>
      </c>
      <c r="E1" s="137">
        <f>E4/$B$4</f>
        <v>0.37467151508988555</v>
      </c>
      <c r="F1" s="137">
        <f>F4/$B$4</f>
        <v>0.49651609300766042</v>
      </c>
    </row>
    <row r="2" spans="1:12" ht="45.75" thickBot="1" x14ac:dyDescent="0.3">
      <c r="A2" s="138" t="s">
        <v>217</v>
      </c>
      <c r="B2" s="139" t="s">
        <v>218</v>
      </c>
      <c r="C2" s="140" t="s">
        <v>219</v>
      </c>
      <c r="D2" s="141" t="s">
        <v>220</v>
      </c>
      <c r="E2" s="141" t="s">
        <v>221</v>
      </c>
      <c r="F2" s="142" t="s">
        <v>222</v>
      </c>
      <c r="H2" s="143" t="s">
        <v>223</v>
      </c>
      <c r="I2" s="278" t="s">
        <v>301</v>
      </c>
      <c r="K2" s="143" t="s">
        <v>224</v>
      </c>
      <c r="L2" s="144">
        <v>2018</v>
      </c>
    </row>
    <row r="3" spans="1:12" x14ac:dyDescent="0.25">
      <c r="A3" s="145" t="s">
        <v>225</v>
      </c>
      <c r="B3" s="146">
        <f>L6</f>
        <v>96.178413424809463</v>
      </c>
      <c r="C3" s="147"/>
      <c r="D3" s="147"/>
      <c r="E3" s="147"/>
      <c r="F3" s="148">
        <f>B3</f>
        <v>96.178413424809463</v>
      </c>
      <c r="H3" s="149" t="s">
        <v>226</v>
      </c>
      <c r="I3" s="150">
        <f>'Forecasted Capacities'!B3</f>
        <v>29044.472612035501</v>
      </c>
      <c r="K3" s="151" t="s">
        <v>227</v>
      </c>
      <c r="L3" s="152">
        <f>Costbase!B31</f>
        <v>224.41629799122202</v>
      </c>
    </row>
    <row r="4" spans="1:12" x14ac:dyDescent="0.25">
      <c r="A4" s="153" t="s">
        <v>227</v>
      </c>
      <c r="B4" s="154">
        <f>L3</f>
        <v>224.41629799122202</v>
      </c>
      <c r="C4" s="155">
        <f>(1/3)*L11</f>
        <v>6.937824030274367</v>
      </c>
      <c r="D4" s="155">
        <f>((1/3)*L11)+(L12*(2/3))</f>
        <v>21.969776095868831</v>
      </c>
      <c r="E4" s="155">
        <f>(I13/(I11+I15))*(B4-C4-D4)</f>
        <v>84.082394379234401</v>
      </c>
      <c r="F4" s="156">
        <f>B4-C4-D4-E4</f>
        <v>111.42630348584443</v>
      </c>
      <c r="H4" s="149" t="s">
        <v>228</v>
      </c>
      <c r="I4" s="150">
        <f>'Forecasted Capacities'!B4</f>
        <v>10890</v>
      </c>
      <c r="K4" s="157" t="s">
        <v>229</v>
      </c>
      <c r="L4" s="152">
        <v>43.361400189214763</v>
      </c>
    </row>
    <row r="5" spans="1:12" ht="15.75" thickBot="1" x14ac:dyDescent="0.3">
      <c r="A5" s="153" t="s">
        <v>230</v>
      </c>
      <c r="B5" s="154"/>
      <c r="C5" s="158">
        <v>0</v>
      </c>
      <c r="D5" s="158"/>
      <c r="E5" s="158"/>
      <c r="F5" s="156">
        <f>-C5</f>
        <v>0</v>
      </c>
      <c r="H5" s="159" t="s">
        <v>231</v>
      </c>
      <c r="I5" s="150">
        <f>'Forecasted Capacities'!B5</f>
        <v>1</v>
      </c>
      <c r="K5" s="157" t="s">
        <v>232</v>
      </c>
      <c r="L5" s="160">
        <f>L4/L3</f>
        <v>0.1932185878536809</v>
      </c>
    </row>
    <row r="6" spans="1:12" ht="16.5" thickTop="1" thickBot="1" x14ac:dyDescent="0.3">
      <c r="A6" s="161" t="s">
        <v>218</v>
      </c>
      <c r="B6" s="162">
        <f>SUM(B3:B4)</f>
        <v>320.59471141603149</v>
      </c>
      <c r="C6" s="162">
        <f>SUM(C3:C5)</f>
        <v>6.937824030274367</v>
      </c>
      <c r="D6" s="162">
        <f>SUM(D3:D4)</f>
        <v>21.969776095868831</v>
      </c>
      <c r="E6" s="162">
        <f>SUM(E3:E4)</f>
        <v>84.082394379234401</v>
      </c>
      <c r="F6" s="163">
        <f>SUM(F3:F5)</f>
        <v>207.60471691065391</v>
      </c>
      <c r="H6" s="164" t="s">
        <v>233</v>
      </c>
      <c r="I6" s="165">
        <f>SUM(I3:I5)</f>
        <v>39935.472612035504</v>
      </c>
      <c r="K6" s="151" t="s">
        <v>225</v>
      </c>
      <c r="L6" s="152">
        <f>Costbase!B32</f>
        <v>96.178413424809463</v>
      </c>
    </row>
    <row r="7" spans="1:12" ht="15.75" thickTop="1" x14ac:dyDescent="0.25">
      <c r="A7" s="166" t="s">
        <v>234</v>
      </c>
      <c r="B7" s="167"/>
      <c r="C7" s="168"/>
      <c r="D7" s="168"/>
      <c r="E7" s="168"/>
      <c r="F7" s="156"/>
      <c r="H7" s="169" t="s">
        <v>235</v>
      </c>
      <c r="I7" s="170"/>
      <c r="K7" s="151" t="s">
        <v>236</v>
      </c>
      <c r="L7" s="160">
        <f>L3/SUM(L6,L3)</f>
        <v>0.7</v>
      </c>
    </row>
    <row r="8" spans="1:12" x14ac:dyDescent="0.25">
      <c r="A8" s="166" t="s">
        <v>237</v>
      </c>
      <c r="B8" s="167"/>
      <c r="C8" s="171"/>
      <c r="D8" s="171"/>
      <c r="E8" s="171"/>
      <c r="F8" s="171"/>
      <c r="H8" s="149" t="s">
        <v>63</v>
      </c>
      <c r="I8" s="150">
        <f>'Forecasted Capacities'!B11</f>
        <v>4733333.3333333302</v>
      </c>
      <c r="K8" s="151"/>
      <c r="L8" s="152"/>
    </row>
    <row r="9" spans="1:12" x14ac:dyDescent="0.25">
      <c r="A9" s="172" t="s">
        <v>238</v>
      </c>
      <c r="B9" s="167"/>
      <c r="C9" s="171">
        <v>-7.5</v>
      </c>
      <c r="D9" s="171"/>
      <c r="E9" s="171"/>
      <c r="F9" s="156">
        <v>7.5</v>
      </c>
      <c r="H9" s="149" t="s">
        <v>65</v>
      </c>
      <c r="I9" s="150">
        <f>'Forecasted Capacities'!B12</f>
        <v>1</v>
      </c>
      <c r="K9" s="151" t="s">
        <v>239</v>
      </c>
      <c r="L9" s="160">
        <f>Costbase!B24</f>
        <v>0.48</v>
      </c>
    </row>
    <row r="10" spans="1:12" ht="15.75" thickBot="1" x14ac:dyDescent="0.3">
      <c r="A10" s="173" t="s">
        <v>240</v>
      </c>
      <c r="B10" s="174">
        <f>SUM(B7:B9)</f>
        <v>0</v>
      </c>
      <c r="C10" s="174">
        <f t="shared" ref="C10:F10" si="0">SUM(C7:C9)</f>
        <v>-7.5</v>
      </c>
      <c r="D10" s="174">
        <f t="shared" si="0"/>
        <v>0</v>
      </c>
      <c r="E10" s="174">
        <f>SUM(E7:E9)</f>
        <v>0</v>
      </c>
      <c r="F10" s="175">
        <f t="shared" si="0"/>
        <v>7.5</v>
      </c>
      <c r="H10" s="159" t="s">
        <v>67</v>
      </c>
      <c r="I10" s="150">
        <f>'Forecasted Capacities'!B13</f>
        <v>1</v>
      </c>
      <c r="K10" s="176" t="s">
        <v>241</v>
      </c>
      <c r="L10" s="177">
        <f>Costbase!B25</f>
        <v>0.52</v>
      </c>
    </row>
    <row r="11" spans="1:12" ht="16.5" thickTop="1" thickBot="1" x14ac:dyDescent="0.3">
      <c r="A11" s="178"/>
      <c r="B11" s="179"/>
      <c r="C11" s="180"/>
      <c r="D11" s="180"/>
      <c r="E11" s="180"/>
      <c r="F11" s="181"/>
      <c r="H11" s="164" t="s">
        <v>242</v>
      </c>
      <c r="I11" s="165">
        <f>SUM(I8:I10)</f>
        <v>4733335.3333333302</v>
      </c>
      <c r="K11" s="176" t="s">
        <v>243</v>
      </c>
      <c r="L11" s="182">
        <f>Costbase!B26</f>
        <v>20.813472090823101</v>
      </c>
    </row>
    <row r="12" spans="1:12" ht="16.5" thickTop="1" thickBot="1" x14ac:dyDescent="0.3">
      <c r="A12" s="173" t="s">
        <v>244</v>
      </c>
      <c r="B12" s="183" t="s">
        <v>218</v>
      </c>
      <c r="C12" s="184" t="s">
        <v>243</v>
      </c>
      <c r="D12" s="184" t="s">
        <v>245</v>
      </c>
      <c r="E12" s="184"/>
      <c r="F12" s="185" t="s">
        <v>246</v>
      </c>
      <c r="H12" s="186" t="s">
        <v>247</v>
      </c>
      <c r="I12" s="150">
        <f>'Forecasted Capacities'!B16</f>
        <v>260000</v>
      </c>
      <c r="K12" s="187" t="s">
        <v>245</v>
      </c>
      <c r="L12" s="188">
        <f>Costbase!B27</f>
        <v>22.547928098391697</v>
      </c>
    </row>
    <row r="13" spans="1:12" x14ac:dyDescent="0.25">
      <c r="A13" s="153" t="s">
        <v>225</v>
      </c>
      <c r="B13" s="167">
        <f>B3-B7+F5</f>
        <v>96.178413424809463</v>
      </c>
      <c r="C13" s="171"/>
      <c r="D13" s="171"/>
      <c r="E13" s="171"/>
      <c r="F13" s="156">
        <f>F3+F5</f>
        <v>96.178413424809463</v>
      </c>
      <c r="H13" s="159" t="s">
        <v>71</v>
      </c>
      <c r="I13" s="150">
        <f>'Forecasted Capacities'!B17</f>
        <v>4099999.9999999995</v>
      </c>
      <c r="J13" s="150"/>
    </row>
    <row r="14" spans="1:12" ht="15.75" thickBot="1" x14ac:dyDescent="0.3">
      <c r="A14" s="153" t="s">
        <v>227</v>
      </c>
      <c r="B14" s="189">
        <f>B4-B8</f>
        <v>224.41629799122202</v>
      </c>
      <c r="C14" s="189">
        <f>C6-C10</f>
        <v>14.437824030274367</v>
      </c>
      <c r="D14" s="189">
        <f>D4-D10</f>
        <v>21.969776095868831</v>
      </c>
      <c r="E14" s="189">
        <f>E4-E10</f>
        <v>84.082394379234401</v>
      </c>
      <c r="F14" s="189">
        <f>F4-F8-F9</f>
        <v>103.92630348584443</v>
      </c>
      <c r="H14" s="159" t="s">
        <v>72</v>
      </c>
      <c r="I14" s="150">
        <f>'Forecasted Capacities'!B18</f>
        <v>440000</v>
      </c>
    </row>
    <row r="15" spans="1:12" ht="16.5" thickTop="1" thickBot="1" x14ac:dyDescent="0.3">
      <c r="A15" s="190" t="s">
        <v>218</v>
      </c>
      <c r="B15" s="191">
        <f>SUM(B13:B14)</f>
        <v>320.59471141603149</v>
      </c>
      <c r="C15" s="191">
        <f t="shared" ref="C15:E15" si="1">SUM(C13:C14)</f>
        <v>14.437824030274367</v>
      </c>
      <c r="D15" s="191">
        <f t="shared" si="1"/>
        <v>21.969776095868831</v>
      </c>
      <c r="E15" s="191">
        <f t="shared" si="1"/>
        <v>84.082394379234401</v>
      </c>
      <c r="F15" s="192">
        <f>SUM(F13:F14)</f>
        <v>200.10471691065391</v>
      </c>
      <c r="H15" s="193" t="s">
        <v>248</v>
      </c>
      <c r="I15" s="194">
        <f>SUM(I12:I14)</f>
        <v>4800000</v>
      </c>
    </row>
    <row r="16" spans="1:12" ht="15.75" thickBot="1" x14ac:dyDescent="0.3"/>
    <row r="17" spans="1:12" ht="15.75" thickBot="1" x14ac:dyDescent="0.3">
      <c r="H17" s="143" t="s">
        <v>249</v>
      </c>
      <c r="I17" s="144">
        <v>2017</v>
      </c>
    </row>
    <row r="18" spans="1:12" ht="34.5" thickBot="1" x14ac:dyDescent="0.3">
      <c r="A18" s="138" t="s">
        <v>250</v>
      </c>
      <c r="B18" s="195" t="s">
        <v>199</v>
      </c>
      <c r="C18" s="196" t="s">
        <v>29</v>
      </c>
      <c r="D18" s="197" t="s">
        <v>251</v>
      </c>
      <c r="E18" s="198" t="s">
        <v>252</v>
      </c>
      <c r="F18" s="142" t="s">
        <v>253</v>
      </c>
      <c r="H18" s="199" t="s">
        <v>254</v>
      </c>
      <c r="I18" s="200">
        <v>4.2956520897007522E-2</v>
      </c>
    </row>
    <row r="19" spans="1:12" x14ac:dyDescent="0.25">
      <c r="A19" s="201" t="s">
        <v>255</v>
      </c>
      <c r="B19" s="202">
        <v>12.945207090671333</v>
      </c>
      <c r="C19" s="203">
        <v>15.821607578251736</v>
      </c>
      <c r="D19" s="203">
        <v>14.231059990149252</v>
      </c>
      <c r="E19" s="204">
        <v>11.060432311571477</v>
      </c>
      <c r="F19" s="203">
        <v>10.44720409942445</v>
      </c>
    </row>
    <row r="20" spans="1:12" x14ac:dyDescent="0.25">
      <c r="A20" s="161" t="s">
        <v>256</v>
      </c>
      <c r="B20" s="205">
        <f>B14*10^6/(I11+I15)</f>
        <v>23.540166179463959</v>
      </c>
      <c r="C20" s="206">
        <f>C14*10^6/I13+E20</f>
        <v>24.029321563294825</v>
      </c>
      <c r="D20" s="206">
        <f>D14*10^6/(I8+I9)+F20</f>
        <v>23.769034489543376</v>
      </c>
      <c r="E20" s="207">
        <f>E14/I13*10^6</f>
        <v>20.507901068105955</v>
      </c>
      <c r="F20" s="206">
        <f>F14/(I11+I15-I13)*10^6</f>
        <v>19.127533478057213</v>
      </c>
    </row>
    <row r="21" spans="1:12" ht="15.75" thickBot="1" x14ac:dyDescent="0.3">
      <c r="A21" s="208" t="s">
        <v>257</v>
      </c>
      <c r="B21" s="209">
        <f>$B$13/$I$6</f>
        <v>2.4083454416368622E-3</v>
      </c>
      <c r="C21" s="209">
        <f>$B$13/$I$6</f>
        <v>2.4083454416368622E-3</v>
      </c>
      <c r="D21" s="210">
        <f>$B$13/$I$6</f>
        <v>2.4083454416368622E-3</v>
      </c>
      <c r="E21" s="211">
        <f>D21</f>
        <v>2.4083454416368622E-3</v>
      </c>
      <c r="F21" s="210">
        <f>$B$13/$I$6</f>
        <v>2.4083454416368622E-3</v>
      </c>
    </row>
    <row r="22" spans="1:12" ht="15.75" thickBot="1" x14ac:dyDescent="0.3">
      <c r="A22" s="212" t="s">
        <v>258</v>
      </c>
      <c r="B22" s="213" t="s">
        <v>171</v>
      </c>
      <c r="C22" s="214">
        <f>(C20-$B$20)/$B$20</f>
        <v>2.0779606231395121E-2</v>
      </c>
      <c r="D22" s="214">
        <f>(D20-$B$20)/$B$20</f>
        <v>9.7224594055362913E-3</v>
      </c>
      <c r="E22" s="214"/>
      <c r="F22" s="214">
        <f>(F20-$B$20)/$B$20</f>
        <v>-0.18745121286595895</v>
      </c>
      <c r="K22" s="50"/>
      <c r="L22" s="50"/>
    </row>
    <row r="23" spans="1:12" x14ac:dyDescent="0.25">
      <c r="G23" s="50"/>
      <c r="H23" s="50"/>
      <c r="I23" s="50"/>
      <c r="K23" s="50"/>
      <c r="L23" s="50"/>
    </row>
    <row r="24" spans="1:12" x14ac:dyDescent="0.25">
      <c r="A24" s="50"/>
      <c r="B24" s="50"/>
      <c r="C24" s="50"/>
      <c r="D24" s="50"/>
      <c r="E24" s="50"/>
      <c r="F24" s="50"/>
      <c r="G24" s="50"/>
      <c r="H24" s="50"/>
      <c r="I24" s="50"/>
      <c r="K24" s="50"/>
      <c r="L24" s="50"/>
    </row>
    <row r="25" spans="1:12" x14ac:dyDescent="0.25">
      <c r="A25" s="215"/>
      <c r="B25" s="50"/>
      <c r="C25" s="50"/>
      <c r="D25" s="50"/>
      <c r="E25" s="50"/>
      <c r="F25" s="50"/>
      <c r="G25" s="50"/>
      <c r="H25" s="50"/>
      <c r="I25" s="50"/>
      <c r="K25" s="50"/>
      <c r="L25" s="50"/>
    </row>
    <row r="26" spans="1:12" x14ac:dyDescent="0.25">
      <c r="A26" s="215"/>
      <c r="B26" s="50"/>
      <c r="C26" s="50"/>
      <c r="D26" s="50"/>
      <c r="E26" s="50"/>
      <c r="F26" s="50"/>
      <c r="G26" s="50"/>
      <c r="H26" s="50"/>
      <c r="I26" s="50"/>
      <c r="K26" s="50"/>
      <c r="L26" s="50"/>
    </row>
    <row r="27" spans="1:12" x14ac:dyDescent="0.25">
      <c r="A27" s="215"/>
      <c r="B27" s="50"/>
      <c r="C27" s="50"/>
      <c r="D27" s="50"/>
      <c r="E27" s="50"/>
      <c r="G27" s="50"/>
      <c r="H27" s="50"/>
    </row>
    <row r="28" spans="1:12" x14ac:dyDescent="0.25">
      <c r="A28" s="215"/>
      <c r="B28" s="50"/>
      <c r="C28" s="50"/>
      <c r="D28" s="50"/>
      <c r="E28" s="50"/>
      <c r="G28" s="50"/>
      <c r="H28" s="50"/>
    </row>
    <row r="29" spans="1:12" x14ac:dyDescent="0.25">
      <c r="A29" s="215"/>
      <c r="B29" s="50"/>
      <c r="C29" s="50"/>
      <c r="D29" s="50"/>
      <c r="E29" s="50"/>
      <c r="G29" s="50"/>
      <c r="H29" s="50"/>
    </row>
    <row r="30" spans="1:12" x14ac:dyDescent="0.25">
      <c r="A30" s="215"/>
      <c r="B30" s="50"/>
      <c r="C30" s="50"/>
      <c r="D30" s="50"/>
      <c r="E30" s="50"/>
    </row>
    <row r="31" spans="1:12" x14ac:dyDescent="0.25">
      <c r="A31" s="215"/>
      <c r="B31" s="50"/>
      <c r="C31" s="50"/>
      <c r="D31" s="50"/>
      <c r="E31" s="50"/>
    </row>
    <row r="32" spans="1:12" x14ac:dyDescent="0.25">
      <c r="A32" s="50"/>
      <c r="B32" s="50"/>
      <c r="C32" s="50"/>
    </row>
    <row r="40" spans="7:10" x14ac:dyDescent="0.25">
      <c r="G40" s="50"/>
      <c r="H40" s="216"/>
      <c r="I40" s="50"/>
      <c r="J40" s="50"/>
    </row>
    <row r="41" spans="7:10" x14ac:dyDescent="0.25">
      <c r="G41" s="50"/>
      <c r="H41" s="216"/>
      <c r="I41" s="50"/>
      <c r="J41" s="50"/>
    </row>
    <row r="42" spans="7:10" x14ac:dyDescent="0.25">
      <c r="G42" s="50"/>
      <c r="H42" s="216"/>
      <c r="I42" s="50"/>
      <c r="J42" s="50"/>
    </row>
    <row r="43" spans="7:10" x14ac:dyDescent="0.25">
      <c r="G43" s="50"/>
      <c r="H43" s="216"/>
      <c r="I43" s="50"/>
      <c r="J43" s="50"/>
    </row>
    <row r="44" spans="7:10" x14ac:dyDescent="0.25">
      <c r="G44" s="50"/>
      <c r="H44" s="216"/>
      <c r="I44" s="50"/>
      <c r="J44" s="50"/>
    </row>
    <row r="45" spans="7:10" x14ac:dyDescent="0.25">
      <c r="G45" s="50"/>
      <c r="H45" s="216"/>
      <c r="I45" s="50"/>
      <c r="J45" s="50"/>
    </row>
    <row r="46" spans="7:10" x14ac:dyDescent="0.25">
      <c r="G46" s="50"/>
      <c r="H46" s="216"/>
      <c r="I46" s="50"/>
      <c r="J46" s="50"/>
    </row>
    <row r="47" spans="7:10" x14ac:dyDescent="0.25">
      <c r="G47" s="50"/>
      <c r="H47" s="216"/>
      <c r="I47" s="50"/>
      <c r="J47" s="50"/>
    </row>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O56"/>
  <sheetViews>
    <sheetView showGridLines="0" zoomScale="90" zoomScaleNormal="90" workbookViewId="0">
      <selection activeCell="E5" sqref="E5"/>
    </sheetView>
  </sheetViews>
  <sheetFormatPr defaultColWidth="9.140625" defaultRowHeight="15" x14ac:dyDescent="0.25"/>
  <cols>
    <col min="1" max="1" width="29.5703125" style="53" customWidth="1"/>
    <col min="2" max="2" width="14.85546875" style="53" bestFit="1" customWidth="1"/>
    <col min="3" max="7" width="14.5703125" style="53" customWidth="1"/>
    <col min="8" max="8" width="9.140625" style="53"/>
    <col min="9" max="9" width="29.5703125" style="53" customWidth="1"/>
    <col min="10" max="15" width="11.140625" style="53" bestFit="1" customWidth="1"/>
    <col min="16" max="16384" width="9.140625" style="53"/>
  </cols>
  <sheetData>
    <row r="1" spans="1:15" ht="15.75" thickBot="1" x14ac:dyDescent="0.3">
      <c r="B1" s="240"/>
      <c r="C1" s="240"/>
      <c r="D1" s="240"/>
      <c r="E1" s="240"/>
      <c r="F1" s="240"/>
      <c r="G1" s="240"/>
    </row>
    <row r="2" spans="1:15" ht="15.75" thickTop="1" x14ac:dyDescent="0.25">
      <c r="A2" s="259" t="s">
        <v>293</v>
      </c>
      <c r="B2" s="276" t="s">
        <v>31</v>
      </c>
      <c r="C2" s="276" t="s">
        <v>32</v>
      </c>
      <c r="D2" s="276" t="s">
        <v>33</v>
      </c>
      <c r="E2" s="276" t="s">
        <v>34</v>
      </c>
      <c r="F2" s="276" t="s">
        <v>35</v>
      </c>
      <c r="G2" s="277" t="s">
        <v>36</v>
      </c>
      <c r="I2" s="259" t="s">
        <v>294</v>
      </c>
      <c r="J2" s="276" t="s">
        <v>31</v>
      </c>
      <c r="K2" s="276" t="s">
        <v>32</v>
      </c>
      <c r="L2" s="276" t="s">
        <v>33</v>
      </c>
      <c r="M2" s="276" t="s">
        <v>34</v>
      </c>
      <c r="N2" s="276" t="s">
        <v>35</v>
      </c>
      <c r="O2" s="277" t="s">
        <v>36</v>
      </c>
    </row>
    <row r="3" spans="1:15" x14ac:dyDescent="0.25">
      <c r="A3" s="260" t="s">
        <v>226</v>
      </c>
      <c r="B3" s="261">
        <f>IF('2. Input'!D32=0,1,'2. Input'!D32)</f>
        <v>29044.472612035501</v>
      </c>
      <c r="C3" s="261">
        <f>IF('2. Input'!E32=0,1,'2. Input'!E32)</f>
        <v>32801.983742960401</v>
      </c>
      <c r="D3" s="261">
        <f>IF('2. Input'!F32=0,1,'2. Input'!F32)</f>
        <v>32801.983742960401</v>
      </c>
      <c r="E3" s="261">
        <f>IF('2. Input'!G32=0,1,'2. Input'!G32)</f>
        <v>33183.752661290899</v>
      </c>
      <c r="F3" s="261">
        <f>IF('2. Input'!H32=0,1,'2. Input'!H32)</f>
        <v>32617.53715664415</v>
      </c>
      <c r="G3" s="261">
        <f>IF('2. Input'!I32=0,1,'2. Input'!I32)</f>
        <v>31937.406852220247</v>
      </c>
      <c r="I3" s="260" t="s">
        <v>5</v>
      </c>
      <c r="J3" s="261">
        <f>IF('2. Input'!D27=0,1,'2. Input'!D27)</f>
        <v>2208.25</v>
      </c>
      <c r="K3" s="261">
        <f>IF('2. Input'!E27=0,1,'2. Input'!E27)</f>
        <v>2208.25</v>
      </c>
      <c r="L3" s="261">
        <f>IF('2. Input'!F27=0,1,'2. Input'!F27)</f>
        <v>2208.2499999999995</v>
      </c>
      <c r="M3" s="261">
        <f>IF('2. Input'!G27=0,1,'2. Input'!G27)</f>
        <v>6884.9</v>
      </c>
      <c r="N3" s="261">
        <f>IF('2. Input'!H27=0,1,'2. Input'!H27)</f>
        <v>20231.417114125707</v>
      </c>
      <c r="O3" s="261">
        <f>IF('2. Input'!I27=0,1,'2. Input'!I27)</f>
        <v>20806.351783361046</v>
      </c>
    </row>
    <row r="4" spans="1:15" x14ac:dyDescent="0.25">
      <c r="A4" s="260" t="s">
        <v>228</v>
      </c>
      <c r="B4" s="261">
        <f>IF('2. Input'!D33=0,1,'2. Input'!D33)</f>
        <v>10890</v>
      </c>
      <c r="C4" s="261">
        <f>IF('2. Input'!E33=0,1,'2. Input'!E33)</f>
        <v>1</v>
      </c>
      <c r="D4" s="261">
        <f>IF('2. Input'!F33=0,1,'2. Input'!F33)</f>
        <v>1</v>
      </c>
      <c r="E4" s="261">
        <f>IF('2. Input'!G33=0,1,'2. Input'!G33)</f>
        <v>1</v>
      </c>
      <c r="F4" s="261">
        <f>IF('2. Input'!H33=0,1,'2. Input'!H33)</f>
        <v>1</v>
      </c>
      <c r="G4" s="261">
        <f>IF('2. Input'!I33=0,1,'2. Input'!I33)</f>
        <v>1</v>
      </c>
      <c r="I4" s="260" t="s">
        <v>6</v>
      </c>
      <c r="J4" s="261">
        <f>IF('2. Input'!D28=0,1,'2. Input'!D28)</f>
        <v>31568.794900000001</v>
      </c>
      <c r="K4" s="261">
        <f>IF('2. Input'!E28=0,1,'2. Input'!E28)</f>
        <v>32196.424143103508</v>
      </c>
      <c r="L4" s="261">
        <f>IF('2. Input'!F28=0,1,'2. Input'!F28)</f>
        <v>31752.222695210487</v>
      </c>
      <c r="M4" s="261">
        <f>IF('2. Input'!G28=0,1,'2. Input'!G28)</f>
        <v>26982.895773076609</v>
      </c>
      <c r="N4" s="261">
        <f>IF('2. Input'!H28=0,1,'2. Input'!H28)</f>
        <v>12783.045786471119</v>
      </c>
      <c r="O4" s="261">
        <f>IF('2. Input'!I28=0,1,'2. Input'!I28)</f>
        <v>17280</v>
      </c>
    </row>
    <row r="5" spans="1:15" x14ac:dyDescent="0.25">
      <c r="A5" s="262" t="s">
        <v>231</v>
      </c>
      <c r="B5" s="261">
        <f>IF('2. Input'!D34=0,1,'2. Input'!D34)</f>
        <v>1</v>
      </c>
      <c r="C5" s="261">
        <f>IF('2. Input'!E34=0,1,'2. Input'!E34)</f>
        <v>1</v>
      </c>
      <c r="D5" s="261">
        <f>IF('2. Input'!F34=0,1,'2. Input'!F34)</f>
        <v>1</v>
      </c>
      <c r="E5" s="261">
        <f>IF('2. Input'!G34=0,1,'2. Input'!G34)</f>
        <v>1</v>
      </c>
      <c r="F5" s="261">
        <f>IF('2. Input'!H34=0,1,'2. Input'!H34)</f>
        <v>1210.3652733292447</v>
      </c>
      <c r="G5" s="261">
        <f>IF('2. Input'!I34=0,1,'2. Input'!I34)</f>
        <v>7894.5576503602697</v>
      </c>
      <c r="I5" s="262" t="s">
        <v>7</v>
      </c>
      <c r="J5" s="261">
        <f>IF('2. Input'!D29=0,1,'2. Input'!D29)</f>
        <v>4320</v>
      </c>
      <c r="K5" s="261">
        <f>IF('2. Input'!E29=0,1,'2. Input'!E29)</f>
        <v>4320</v>
      </c>
      <c r="L5" s="261">
        <f>IF('2. Input'!F29=0,1,'2. Input'!F29)</f>
        <v>4632</v>
      </c>
      <c r="M5" s="261">
        <f>IF('2. Input'!G29=0,1,'2. Input'!G29)</f>
        <v>6168</v>
      </c>
      <c r="N5" s="261">
        <f>IF('2. Input'!H29=0,1,'2. Input'!H29)</f>
        <v>6168</v>
      </c>
      <c r="O5" s="261">
        <f>IF('2. Input'!I29=0,1,'2. Input'!I29)</f>
        <v>6168</v>
      </c>
    </row>
    <row r="6" spans="1:15" x14ac:dyDescent="0.25">
      <c r="A6" s="262" t="s">
        <v>295</v>
      </c>
      <c r="B6" s="396">
        <v>6000</v>
      </c>
      <c r="C6" s="396">
        <v>6000</v>
      </c>
      <c r="D6" s="396">
        <v>6000</v>
      </c>
      <c r="E6" s="396">
        <v>6000</v>
      </c>
      <c r="F6" s="396">
        <v>6000</v>
      </c>
      <c r="G6" s="396">
        <v>6000</v>
      </c>
      <c r="H6" s="60"/>
      <c r="I6" s="262" t="s">
        <v>296</v>
      </c>
      <c r="J6" s="396">
        <v>6000</v>
      </c>
      <c r="K6" s="396">
        <v>6000</v>
      </c>
      <c r="L6" s="396">
        <v>6000</v>
      </c>
      <c r="M6" s="396">
        <v>6000</v>
      </c>
      <c r="N6" s="396">
        <v>6000</v>
      </c>
      <c r="O6" s="396">
        <v>6000</v>
      </c>
    </row>
    <row r="7" spans="1:15" ht="15.75" thickBot="1" x14ac:dyDescent="0.3">
      <c r="A7" s="262" t="s">
        <v>9</v>
      </c>
      <c r="B7" s="261">
        <f>IF('2. Input'!D35=0,1,'2. Input'!D35)</f>
        <v>1</v>
      </c>
      <c r="C7" s="261">
        <f>IF('2. Input'!E35=0,1,'2. Input'!E35)</f>
        <v>1</v>
      </c>
      <c r="D7" s="261">
        <f>IF('2. Input'!F35=0,1,'2. Input'!F35)</f>
        <v>1</v>
      </c>
      <c r="E7" s="261">
        <f>IF('2. Input'!G35=0,1,'2. Input'!G35)</f>
        <v>86101.421472000002</v>
      </c>
      <c r="F7" s="261">
        <f>IF('2. Input'!H35=0,1,'2. Input'!H35)</f>
        <v>86101.421472000002</v>
      </c>
      <c r="G7" s="261">
        <f>IF('2. Input'!I35=0,1,'2. Input'!I35)</f>
        <v>86101.421472000002</v>
      </c>
      <c r="H7" s="60"/>
      <c r="I7" s="262" t="s">
        <v>9</v>
      </c>
      <c r="J7" s="261">
        <f>IF('2. Input'!D30=0,1,'2. Input'!D30)</f>
        <v>1</v>
      </c>
      <c r="K7" s="261">
        <f>IF('2. Input'!E30=0,1,'2. Input'!E30)</f>
        <v>1</v>
      </c>
      <c r="L7" s="261">
        <f>IF('2. Input'!F30=0,1,'2. Input'!F30)</f>
        <v>1</v>
      </c>
      <c r="M7" s="261">
        <f>IF('2. Input'!G30=0,1,'2. Input'!G30)</f>
        <v>86101.421472000002</v>
      </c>
      <c r="N7" s="261">
        <f>IF('2. Input'!H30=0,1,'2. Input'!H30)</f>
        <v>86101.421472000002</v>
      </c>
      <c r="O7" s="261">
        <f>IF('2. Input'!I30=0,1,'2. Input'!I30)</f>
        <v>86101.421472000002</v>
      </c>
    </row>
    <row r="8" spans="1:15" ht="16.5" thickTop="1" thickBot="1" x14ac:dyDescent="0.3">
      <c r="A8" s="263" t="s">
        <v>233</v>
      </c>
      <c r="B8" s="264">
        <f t="shared" ref="B8:G8" si="0">SUM(B3:B7)</f>
        <v>45936.472612035504</v>
      </c>
      <c r="C8" s="264">
        <f t="shared" si="0"/>
        <v>38804.983742960401</v>
      </c>
      <c r="D8" s="264">
        <f t="shared" si="0"/>
        <v>38804.983742960401</v>
      </c>
      <c r="E8" s="264">
        <f t="shared" si="0"/>
        <v>125287.1741332909</v>
      </c>
      <c r="F8" s="264">
        <f t="shared" si="0"/>
        <v>125930.3239019734</v>
      </c>
      <c r="G8" s="264">
        <f t="shared" si="0"/>
        <v>131934.38597458051</v>
      </c>
      <c r="I8" s="263" t="s">
        <v>297</v>
      </c>
      <c r="J8" s="265">
        <f t="shared" ref="J8:O8" si="1">SUM(J3:J7)</f>
        <v>44098.044900000001</v>
      </c>
      <c r="K8" s="265">
        <f t="shared" si="1"/>
        <v>44725.674143103504</v>
      </c>
      <c r="L8" s="265">
        <f t="shared" si="1"/>
        <v>44593.472695210483</v>
      </c>
      <c r="M8" s="265">
        <f t="shared" si="1"/>
        <v>132137.21724507661</v>
      </c>
      <c r="N8" s="265">
        <f t="shared" si="1"/>
        <v>131283.88437259683</v>
      </c>
      <c r="O8" s="265">
        <f t="shared" si="1"/>
        <v>136355.77325536104</v>
      </c>
    </row>
    <row r="9" spans="1:15" ht="16.5" thickTop="1" thickBot="1" x14ac:dyDescent="0.3">
      <c r="B9" s="258"/>
      <c r="C9" s="258"/>
      <c r="D9" s="258"/>
      <c r="E9" s="258"/>
      <c r="F9" s="258"/>
    </row>
    <row r="10" spans="1:15" ht="15.75" thickTop="1" x14ac:dyDescent="0.25">
      <c r="A10" s="259" t="s">
        <v>235</v>
      </c>
      <c r="B10" s="276" t="s">
        <v>31</v>
      </c>
      <c r="C10" s="276" t="s">
        <v>32</v>
      </c>
      <c r="D10" s="276" t="s">
        <v>33</v>
      </c>
      <c r="E10" s="276" t="s">
        <v>34</v>
      </c>
      <c r="F10" s="276" t="s">
        <v>35</v>
      </c>
      <c r="G10" s="277" t="s">
        <v>36</v>
      </c>
    </row>
    <row r="11" spans="1:15" x14ac:dyDescent="0.25">
      <c r="A11" s="260" t="s">
        <v>63</v>
      </c>
      <c r="B11" s="261">
        <f>IF('2. Input'!D45=0,1,'2. Input'!D45*1000000)</f>
        <v>4733333.3333333302</v>
      </c>
      <c r="C11" s="261">
        <f>IF('2. Input'!E45=0,1,'2. Input'!E45*1000000)</f>
        <v>3733333</v>
      </c>
      <c r="D11" s="261">
        <f>IF('2. Input'!F45=0,1,'2. Input'!F45*1000000)</f>
        <v>3700000</v>
      </c>
      <c r="E11" s="261">
        <f>IF('2. Input'!G45=0,1,'2. Input'!G45*1000000)</f>
        <v>3629166.6666666665</v>
      </c>
      <c r="F11" s="261">
        <f>IF('2. Input'!H45=0,1,'2. Input'!H45*1000000)</f>
        <v>3516666.6666666665</v>
      </c>
      <c r="G11" s="261">
        <f>IF('2. Input'!I45=0,1,'2. Input'!I45*1000000)</f>
        <v>3395833.3333333335</v>
      </c>
    </row>
    <row r="12" spans="1:15" x14ac:dyDescent="0.25">
      <c r="A12" s="260" t="s">
        <v>65</v>
      </c>
      <c r="B12" s="261">
        <f>IF('2. Input'!D46=0,1,'2. Input'!D46*1000000)</f>
        <v>1</v>
      </c>
      <c r="C12" s="261">
        <f>IF('2. Input'!E46=0,1,'2. Input'!E46*1000000)</f>
        <v>1</v>
      </c>
      <c r="D12" s="261">
        <f>IF('2. Input'!F46=0,1,'2. Input'!F46*1000000)</f>
        <v>1</v>
      </c>
      <c r="E12" s="261">
        <f>IF('2. Input'!G46=0,1,'2. Input'!G46*1000000)</f>
        <v>1</v>
      </c>
      <c r="F12" s="261">
        <f>IF('2. Input'!H46=0,1,'2. Input'!H46*1000000)</f>
        <v>1</v>
      </c>
      <c r="G12" s="261">
        <f>IF('2. Input'!I46=0,1,'2. Input'!I46*1000000)</f>
        <v>1</v>
      </c>
    </row>
    <row r="13" spans="1:15" x14ac:dyDescent="0.25">
      <c r="A13" s="262" t="s">
        <v>67</v>
      </c>
      <c r="B13" s="261">
        <f>IF('2. Input'!D47=0,1,'2. Input'!D47*1000000)</f>
        <v>1</v>
      </c>
      <c r="C13" s="261">
        <f>IF('2. Input'!E47=0,1,'2. Input'!E47*1000000)</f>
        <v>1</v>
      </c>
      <c r="D13" s="261">
        <f>IF('2. Input'!F47=0,1,'2. Input'!F47*1000000)</f>
        <v>1</v>
      </c>
      <c r="E13" s="261">
        <f>IF('2. Input'!G47=0,1,'2. Input'!G47*1000000)</f>
        <v>145000</v>
      </c>
      <c r="F13" s="261">
        <f>IF('2. Input'!H47=0,1,'2. Input'!H47*1000000)</f>
        <v>950000</v>
      </c>
      <c r="G13" s="261">
        <f>IF('2. Input'!I47=0,1,'2. Input'!I47*1000000)</f>
        <v>1200000</v>
      </c>
    </row>
    <row r="14" spans="1:15" ht="15.75" thickBot="1" x14ac:dyDescent="0.3">
      <c r="A14" s="262" t="s">
        <v>264</v>
      </c>
      <c r="B14" s="261">
        <f>IF('2. Input'!D48=0,1,'2. Input'!D48*1000000)</f>
        <v>1</v>
      </c>
      <c r="C14" s="261">
        <f>IF('2. Input'!E48=0,1,'2. Input'!E48*1000000)</f>
        <v>1</v>
      </c>
      <c r="D14" s="261">
        <f>IF('2. Input'!F48=0,1,'2. Input'!F48*1000000)</f>
        <v>1</v>
      </c>
      <c r="E14" s="261">
        <f>IF('2. Input'!G48=0,1,'2. Input'!G48*1000000)</f>
        <v>10994517.589041095</v>
      </c>
      <c r="F14" s="261">
        <f>IF('2. Input'!H48=0,1,'2. Input'!H48*1000000)</f>
        <v>10994517.589041095</v>
      </c>
      <c r="G14" s="261">
        <f>IF('2. Input'!I48=0,1,'2. Input'!I48*1000000)</f>
        <v>10994517.589041095</v>
      </c>
    </row>
    <row r="15" spans="1:15" ht="16.5" thickTop="1" thickBot="1" x14ac:dyDescent="0.3">
      <c r="A15" s="263" t="s">
        <v>242</v>
      </c>
      <c r="B15" s="264">
        <f>SUM(B11:B14)</f>
        <v>4733336.3333333302</v>
      </c>
      <c r="C15" s="264">
        <f t="shared" ref="C15:G15" si="2">SUM(C11:C14)</f>
        <v>3733336</v>
      </c>
      <c r="D15" s="264">
        <f t="shared" si="2"/>
        <v>3700003</v>
      </c>
      <c r="E15" s="264">
        <f t="shared" si="2"/>
        <v>14768685.255707761</v>
      </c>
      <c r="F15" s="264">
        <f t="shared" si="2"/>
        <v>15461185.255707761</v>
      </c>
      <c r="G15" s="264">
        <f t="shared" si="2"/>
        <v>15590351.922374429</v>
      </c>
    </row>
    <row r="16" spans="1:15" ht="15.75" thickTop="1" x14ac:dyDescent="0.25">
      <c r="A16" s="266" t="s">
        <v>298</v>
      </c>
      <c r="B16" s="261">
        <f>IF('2. Input'!D40=0,1,'2. Input'!D40*1000000)</f>
        <v>260000</v>
      </c>
      <c r="C16" s="261">
        <f>IF('2. Input'!E40=0,1,'2. Input'!E40*1000000)</f>
        <v>210000</v>
      </c>
      <c r="D16" s="261">
        <f>IF('2. Input'!F40=0,1,'2. Input'!F40*1000000)</f>
        <v>210000</v>
      </c>
      <c r="E16" s="261">
        <f>IF('2. Input'!G40=0,1,'2. Input'!G40*1000000)</f>
        <v>2300000</v>
      </c>
      <c r="F16" s="261">
        <f>IF('2. Input'!H40=0,1,'2. Input'!H40*1000000)</f>
        <v>2400000</v>
      </c>
      <c r="G16" s="261">
        <f>IF('2. Input'!I40=0,1,'2. Input'!I40*1000000)</f>
        <v>2562500</v>
      </c>
    </row>
    <row r="17" spans="1:7" x14ac:dyDescent="0.25">
      <c r="A17" s="262" t="s">
        <v>71</v>
      </c>
      <c r="B17" s="261">
        <f>IF('2. Input'!D41=0,1,'2. Input'!D41*1000000)</f>
        <v>4099999.9999999995</v>
      </c>
      <c r="C17" s="261">
        <f>IF('2. Input'!E41=0,1,'2. Input'!E41*1000000)</f>
        <v>3608333</v>
      </c>
      <c r="D17" s="261">
        <f>IF('2. Input'!F41=0,1,'2. Input'!F41*1000000)</f>
        <v>3516078.125</v>
      </c>
      <c r="E17" s="261">
        <f>IF('2. Input'!G41=0,1,'2. Input'!G41*1000000)</f>
        <v>2456031.5</v>
      </c>
      <c r="F17" s="261">
        <f>IF('2. Input'!H41=0,1,'2. Input'!H41*1000000)</f>
        <v>1726950</v>
      </c>
      <c r="G17" s="261">
        <f>IF('2. Input'!I41=0,1,'2. Input'!I41*1000000)</f>
        <v>1587500</v>
      </c>
    </row>
    <row r="18" spans="1:7" x14ac:dyDescent="0.25">
      <c r="A18" s="262" t="s">
        <v>72</v>
      </c>
      <c r="B18" s="261">
        <f>IF('2. Input'!D42=0,1,'2. Input'!D42*1000000)</f>
        <v>440000</v>
      </c>
      <c r="C18" s="261">
        <f>IF('2. Input'!E42=0,1,'2. Input'!E42*1000000)</f>
        <v>645000</v>
      </c>
      <c r="D18" s="261">
        <f>IF('2. Input'!F42=0,1,'2. Input'!F42*1000000)</f>
        <v>785000.00000000035</v>
      </c>
      <c r="E18" s="261">
        <f>IF('2. Input'!G42=0,1,'2. Input'!G42*1000000)</f>
        <v>829999.99999999988</v>
      </c>
      <c r="F18" s="261">
        <f>IF('2. Input'!H42=0,1,'2. Input'!H42*1000000)</f>
        <v>854999.99999999988</v>
      </c>
      <c r="G18" s="261">
        <f>IF('2. Input'!I42=0,1,'2. Input'!I42*1000000)</f>
        <v>887500.00000000012</v>
      </c>
    </row>
    <row r="19" spans="1:7" ht="15.75" thickBot="1" x14ac:dyDescent="0.3">
      <c r="A19" s="262" t="s">
        <v>265</v>
      </c>
      <c r="B19" s="267">
        <f>IF('2. Input'!D43=0,1,'2. Input'!D43*1000000)</f>
        <v>1</v>
      </c>
      <c r="C19" s="267">
        <f>IF('2. Input'!E43=0,1,'2. Input'!E43*1000000)</f>
        <v>1</v>
      </c>
      <c r="D19" s="267">
        <f>IF('2. Input'!F43=0,1,'2. Input'!F43*1000000)</f>
        <v>1</v>
      </c>
      <c r="E19" s="267">
        <f>IF('2. Input'!G43=0,1,'2. Input'!G43*1000000)</f>
        <v>10994517.589041095</v>
      </c>
      <c r="F19" s="267">
        <f>IF('2. Input'!H43=0,1,'2. Input'!H43*1000000)</f>
        <v>10994517.589041095</v>
      </c>
      <c r="G19" s="267">
        <f>IF('2. Input'!I43=0,1,'2. Input'!I43*1000000)</f>
        <v>10994517.589041095</v>
      </c>
    </row>
    <row r="20" spans="1:7" ht="16.5" thickTop="1" thickBot="1" x14ac:dyDescent="0.3">
      <c r="A20" s="263" t="s">
        <v>248</v>
      </c>
      <c r="B20" s="264">
        <f t="shared" ref="B20:G20" si="3">SUM(B16:B19)</f>
        <v>4800001</v>
      </c>
      <c r="C20" s="264">
        <f t="shared" si="3"/>
        <v>4463334</v>
      </c>
      <c r="D20" s="264">
        <f t="shared" si="3"/>
        <v>4511079.125</v>
      </c>
      <c r="E20" s="264">
        <f t="shared" si="3"/>
        <v>16580549.089041095</v>
      </c>
      <c r="F20" s="264">
        <f t="shared" si="3"/>
        <v>15976467.589041095</v>
      </c>
      <c r="G20" s="264">
        <f t="shared" si="3"/>
        <v>16032017.589041095</v>
      </c>
    </row>
    <row r="21" spans="1:7" ht="16.5" thickTop="1" thickBot="1" x14ac:dyDescent="0.3">
      <c r="A21" s="268" t="s">
        <v>299</v>
      </c>
      <c r="B21" s="396">
        <v>4000000</v>
      </c>
      <c r="C21" s="396">
        <v>4000000</v>
      </c>
      <c r="D21" s="396">
        <v>4000000</v>
      </c>
      <c r="E21" s="396">
        <v>4000000</v>
      </c>
      <c r="F21" s="396">
        <v>4000000</v>
      </c>
      <c r="G21" s="396">
        <v>4000000</v>
      </c>
    </row>
    <row r="22" spans="1:7" ht="16.5" thickTop="1" thickBot="1" x14ac:dyDescent="0.3">
      <c r="A22" s="263" t="s">
        <v>300</v>
      </c>
      <c r="B22" s="397">
        <v>7000000</v>
      </c>
      <c r="C22" s="397">
        <v>7000000</v>
      </c>
      <c r="D22" s="397">
        <v>7000000</v>
      </c>
      <c r="E22" s="397">
        <v>7000000</v>
      </c>
      <c r="F22" s="397">
        <v>7000000</v>
      </c>
      <c r="G22" s="397">
        <v>7000000</v>
      </c>
    </row>
    <row r="23" spans="1:7" ht="15.75" thickTop="1" x14ac:dyDescent="0.25">
      <c r="A23" s="269"/>
    </row>
    <row r="24" spans="1:7" x14ac:dyDescent="0.25">
      <c r="A24" s="73"/>
      <c r="B24" s="258"/>
      <c r="C24" s="258"/>
      <c r="D24" s="258"/>
      <c r="E24" s="258"/>
      <c r="F24" s="258"/>
      <c r="G24" s="258"/>
    </row>
    <row r="27" spans="1:7" x14ac:dyDescent="0.25">
      <c r="A27" s="73"/>
    </row>
    <row r="28" spans="1:7" x14ac:dyDescent="0.25">
      <c r="A28" s="269"/>
    </row>
    <row r="32" spans="1:7" x14ac:dyDescent="0.25">
      <c r="A32" s="73"/>
    </row>
    <row r="48" spans="1:1" x14ac:dyDescent="0.25">
      <c r="A48" s="73"/>
    </row>
    <row r="51" spans="1:1" x14ac:dyDescent="0.25">
      <c r="A51" s="73"/>
    </row>
    <row r="52" spans="1:1" x14ac:dyDescent="0.25">
      <c r="A52" s="269"/>
    </row>
    <row r="56" spans="1:1" x14ac:dyDescent="0.25">
      <c r="A56" s="73"/>
    </row>
  </sheetData>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0000"/>
  </sheetPr>
  <dimension ref="A1:AC109"/>
  <sheetViews>
    <sheetView showGridLines="0" topLeftCell="A82" zoomScaleNormal="100" workbookViewId="0">
      <selection activeCell="A25" sqref="A25"/>
    </sheetView>
  </sheetViews>
  <sheetFormatPr defaultColWidth="9.140625" defaultRowHeight="15" x14ac:dyDescent="0.25"/>
  <cols>
    <col min="1" max="1" width="9.140625" style="53"/>
    <col min="2" max="2" width="21" style="53" customWidth="1"/>
    <col min="3" max="3" width="19.5703125" style="53" customWidth="1"/>
    <col min="4" max="4" width="15.5703125" style="53" customWidth="1"/>
    <col min="5" max="5" width="12.5703125" style="53" customWidth="1"/>
    <col min="6" max="6" width="13.140625" style="53" customWidth="1"/>
    <col min="7" max="7" width="10" style="53" bestFit="1" customWidth="1"/>
    <col min="8" max="8" width="10.140625" style="53" bestFit="1" customWidth="1"/>
    <col min="9" max="9" width="21.5703125" style="53" customWidth="1"/>
    <col min="10" max="10" width="19" style="53" customWidth="1"/>
    <col min="11" max="11" width="12.140625" style="53" bestFit="1" customWidth="1"/>
    <col min="12" max="12" width="21.42578125" style="53" customWidth="1"/>
    <col min="13" max="13" width="17.140625" style="53" customWidth="1"/>
    <col min="14" max="14" width="12.140625" style="53" bestFit="1" customWidth="1"/>
    <col min="15" max="15" width="9.42578125" style="53" bestFit="1" customWidth="1"/>
    <col min="16" max="16384" width="9.140625" style="53"/>
  </cols>
  <sheetData>
    <row r="1" spans="1:20" x14ac:dyDescent="0.25">
      <c r="A1" s="53" t="s">
        <v>86</v>
      </c>
    </row>
    <row r="2" spans="1:20" ht="15.75" x14ac:dyDescent="0.25">
      <c r="A2" s="54" t="s">
        <v>87</v>
      </c>
    </row>
    <row r="3" spans="1:20" x14ac:dyDescent="0.25">
      <c r="A3" s="55" t="s">
        <v>88</v>
      </c>
    </row>
    <row r="4" spans="1:20" x14ac:dyDescent="0.25">
      <c r="B4" s="56"/>
      <c r="C4" s="56"/>
      <c r="D4" s="56"/>
      <c r="E4" s="56"/>
      <c r="F4" s="56"/>
    </row>
    <row r="5" spans="1:20" x14ac:dyDescent="0.25">
      <c r="A5" s="57" t="s">
        <v>89</v>
      </c>
      <c r="B5" s="55"/>
      <c r="C5" s="55"/>
      <c r="D5" s="55"/>
      <c r="E5" s="55"/>
      <c r="F5" s="55"/>
      <c r="G5" s="55"/>
      <c r="H5" s="55"/>
    </row>
    <row r="13" spans="1:20" ht="18.75" x14ac:dyDescent="0.3">
      <c r="A13" s="58" t="s">
        <v>90</v>
      </c>
    </row>
    <row r="14" spans="1:20" x14ac:dyDescent="0.25">
      <c r="T14" s="62"/>
    </row>
    <row r="15" spans="1:20" x14ac:dyDescent="0.25">
      <c r="B15" s="69" t="s">
        <v>91</v>
      </c>
      <c r="T15" s="62"/>
    </row>
    <row r="16" spans="1:20" x14ac:dyDescent="0.25">
      <c r="B16" s="69" t="s">
        <v>26</v>
      </c>
      <c r="C16" s="62" t="s">
        <v>92</v>
      </c>
      <c r="D16" s="62" t="s">
        <v>93</v>
      </c>
      <c r="E16" s="62" t="s">
        <v>94</v>
      </c>
      <c r="F16" s="62"/>
      <c r="J16" s="69" t="s">
        <v>8</v>
      </c>
      <c r="K16" s="62" t="s">
        <v>92</v>
      </c>
      <c r="L16" s="62" t="s">
        <v>93</v>
      </c>
      <c r="M16" s="62" t="s">
        <v>94</v>
      </c>
      <c r="N16" s="62"/>
      <c r="R16" s="62"/>
      <c r="T16" s="62"/>
    </row>
    <row r="17" spans="1:29" x14ac:dyDescent="0.25">
      <c r="A17" s="63" t="s">
        <v>95</v>
      </c>
      <c r="B17" s="62" t="s">
        <v>70</v>
      </c>
      <c r="C17" s="62">
        <v>0</v>
      </c>
      <c r="D17" s="62">
        <v>93</v>
      </c>
      <c r="E17" s="62">
        <f>'Forecasted Capacities'!C16*10^(-3)</f>
        <v>210</v>
      </c>
      <c r="F17" s="62"/>
      <c r="J17" s="62" t="s">
        <v>68</v>
      </c>
      <c r="K17" s="62">
        <v>56.8</v>
      </c>
      <c r="L17" s="62">
        <v>0</v>
      </c>
      <c r="M17" s="62">
        <f>'Forecasted Capacities'!C13*10^(-3)</f>
        <v>1E-3</v>
      </c>
      <c r="N17" s="63" t="s">
        <v>200</v>
      </c>
      <c r="R17" s="62"/>
      <c r="T17" s="62"/>
    </row>
    <row r="18" spans="1:29" x14ac:dyDescent="0.25">
      <c r="B18" s="62" t="s">
        <v>73</v>
      </c>
      <c r="C18" s="62">
        <v>56.8</v>
      </c>
      <c r="D18" s="62">
        <v>93</v>
      </c>
      <c r="E18" s="62">
        <f>'Forecasted Capacities'!C18*10^(-3)</f>
        <v>645</v>
      </c>
      <c r="F18" s="62"/>
      <c r="J18" s="62" t="s">
        <v>66</v>
      </c>
      <c r="K18" s="62">
        <v>275.39999999999998</v>
      </c>
      <c r="L18" s="62">
        <v>93</v>
      </c>
      <c r="M18" s="62">
        <f>'Forecasted Capacities'!C12*10^(-3)</f>
        <v>1E-3</v>
      </c>
      <c r="N18" s="62"/>
      <c r="R18" s="62"/>
      <c r="T18" s="62"/>
      <c r="V18" s="62"/>
      <c r="W18" s="62"/>
      <c r="X18" s="62"/>
      <c r="Y18" s="62"/>
      <c r="Z18" s="62"/>
      <c r="AA18" s="62"/>
      <c r="AB18" s="62"/>
      <c r="AC18" s="62"/>
    </row>
    <row r="19" spans="1:29" x14ac:dyDescent="0.25">
      <c r="B19" s="62" t="s">
        <v>68</v>
      </c>
      <c r="C19" s="62">
        <v>56.8</v>
      </c>
      <c r="D19" s="62">
        <v>0</v>
      </c>
      <c r="E19" s="62">
        <f>'Forecasted Capacities'!C17*10^(-3)</f>
        <v>3608.3330000000001</v>
      </c>
      <c r="F19" s="62"/>
      <c r="J19" s="62" t="s">
        <v>64</v>
      </c>
      <c r="K19" s="62">
        <v>190</v>
      </c>
      <c r="L19" s="62">
        <v>93</v>
      </c>
      <c r="M19" s="62">
        <f>'Forecasted Capacities'!C11*10^(-3)</f>
        <v>3733.3330000000001</v>
      </c>
      <c r="N19" s="62"/>
      <c r="R19" s="62"/>
      <c r="V19" s="62"/>
      <c r="X19" s="63"/>
      <c r="Y19" s="63"/>
      <c r="Z19" s="63"/>
      <c r="AA19" s="63"/>
      <c r="AB19" s="63"/>
      <c r="AC19" s="63"/>
    </row>
    <row r="20" spans="1:29" x14ac:dyDescent="0.25">
      <c r="B20" s="62" t="s">
        <v>96</v>
      </c>
      <c r="C20" s="62">
        <v>97.8</v>
      </c>
      <c r="D20" s="62">
        <v>93</v>
      </c>
      <c r="E20" s="62">
        <f>'Forecasted Capacities'!C22*10^(-3)</f>
        <v>7000</v>
      </c>
      <c r="F20" s="62"/>
      <c r="J20" s="62" t="s">
        <v>96</v>
      </c>
      <c r="K20" s="62">
        <v>97.8</v>
      </c>
      <c r="L20" s="62">
        <v>93</v>
      </c>
      <c r="M20" s="62">
        <f>'Forecasted Capacities'!C21*10^(-3)</f>
        <v>4000</v>
      </c>
      <c r="N20" s="62"/>
      <c r="R20" s="62"/>
      <c r="V20" s="62"/>
      <c r="W20" s="62"/>
      <c r="X20" s="62"/>
      <c r="Y20" s="62"/>
      <c r="Z20" s="62"/>
      <c r="AA20" s="62"/>
      <c r="AB20" s="62"/>
      <c r="AC20" s="62"/>
    </row>
    <row r="21" spans="1:29" x14ac:dyDescent="0.25">
      <c r="E21" s="73">
        <f>SUM(E17:E20)</f>
        <v>11463.333000000001</v>
      </c>
      <c r="M21" s="73">
        <f>SUM(M17:M20)</f>
        <v>7733.335</v>
      </c>
      <c r="V21" s="62"/>
      <c r="W21" s="62"/>
      <c r="X21" s="62"/>
      <c r="Y21" s="62"/>
      <c r="Z21" s="62"/>
      <c r="AA21" s="62"/>
      <c r="AB21" s="62"/>
      <c r="AC21" s="62"/>
    </row>
    <row r="22" spans="1:29" x14ac:dyDescent="0.25">
      <c r="V22" s="62"/>
      <c r="W22" s="62"/>
      <c r="X22" s="62"/>
      <c r="Y22" s="62"/>
      <c r="Z22" s="62"/>
      <c r="AA22" s="62"/>
      <c r="AB22" s="62"/>
      <c r="AC22" s="62"/>
    </row>
    <row r="23" spans="1:29" x14ac:dyDescent="0.25">
      <c r="B23" s="69" t="s">
        <v>97</v>
      </c>
    </row>
    <row r="24" spans="1:29" ht="15.75" x14ac:dyDescent="0.25">
      <c r="B24" s="54"/>
      <c r="C24" s="62" t="s">
        <v>98</v>
      </c>
      <c r="E24" s="62">
        <f>'10. Current tariff method 21'!B13+'10. Current tariff method 21'!B14</f>
        <v>318.0541986552081</v>
      </c>
    </row>
    <row r="25" spans="1:29" x14ac:dyDescent="0.25">
      <c r="A25" s="63" t="s">
        <v>99</v>
      </c>
      <c r="C25" s="62" t="s">
        <v>100</v>
      </c>
      <c r="E25" s="62">
        <f>'10. Current tariff method 21'!B14</f>
        <v>222.63793905864566</v>
      </c>
    </row>
    <row r="26" spans="1:29" x14ac:dyDescent="0.25">
      <c r="A26" s="63" t="s">
        <v>101</v>
      </c>
      <c r="C26" s="62" t="s">
        <v>102</v>
      </c>
      <c r="D26" s="62"/>
      <c r="E26" s="62">
        <v>0.5</v>
      </c>
    </row>
    <row r="27" spans="1:29" x14ac:dyDescent="0.25">
      <c r="A27" s="63" t="s">
        <v>101</v>
      </c>
      <c r="C27" s="62" t="s">
        <v>103</v>
      </c>
      <c r="D27" s="62"/>
      <c r="E27" s="62">
        <f>E25*E26</f>
        <v>111.31896952932283</v>
      </c>
    </row>
    <row r="28" spans="1:29" x14ac:dyDescent="0.25">
      <c r="C28" s="62" t="s">
        <v>104</v>
      </c>
      <c r="D28" s="62"/>
      <c r="E28" s="62">
        <f>E25*(1-E26)</f>
        <v>111.31896952932283</v>
      </c>
    </row>
    <row r="29" spans="1:29" x14ac:dyDescent="0.25">
      <c r="C29" s="62" t="s">
        <v>105</v>
      </c>
      <c r="E29" s="62">
        <f>'10. Current tariff method 21'!B13</f>
        <v>95.41625959656244</v>
      </c>
    </row>
    <row r="31" spans="1:29" x14ac:dyDescent="0.25">
      <c r="K31" s="67"/>
      <c r="L31" s="67"/>
    </row>
    <row r="32" spans="1:29" x14ac:dyDescent="0.25">
      <c r="B32" s="68" t="s">
        <v>106</v>
      </c>
      <c r="J32" s="68" t="s">
        <v>107</v>
      </c>
    </row>
    <row r="33" spans="1:14" x14ac:dyDescent="0.25">
      <c r="B33" s="69" t="s">
        <v>108</v>
      </c>
      <c r="C33" s="69" t="s">
        <v>8</v>
      </c>
      <c r="J33" s="69" t="s">
        <v>109</v>
      </c>
      <c r="K33" s="62" t="s">
        <v>26</v>
      </c>
    </row>
    <row r="34" spans="1:14" x14ac:dyDescent="0.25">
      <c r="B34" s="69" t="s">
        <v>26</v>
      </c>
      <c r="C34" s="62" t="s">
        <v>68</v>
      </c>
      <c r="D34" s="62" t="s">
        <v>66</v>
      </c>
      <c r="E34" s="62" t="s">
        <v>64</v>
      </c>
      <c r="F34" s="62" t="s">
        <v>96</v>
      </c>
      <c r="J34" s="62" t="s">
        <v>8</v>
      </c>
      <c r="K34" s="62" t="s">
        <v>70</v>
      </c>
      <c r="L34" s="62" t="s">
        <v>73</v>
      </c>
      <c r="M34" s="62" t="s">
        <v>68</v>
      </c>
      <c r="N34" s="62" t="s">
        <v>96</v>
      </c>
    </row>
    <row r="35" spans="1:14" x14ac:dyDescent="0.25">
      <c r="B35" s="62" t="s">
        <v>70</v>
      </c>
      <c r="C35" s="62">
        <f>ABS(C19-C17)+ABS(D17-D19)</f>
        <v>149.80000000000001</v>
      </c>
      <c r="D35" s="62">
        <f>ABS(K18-C17)+ABS(L18-D17)</f>
        <v>275.39999999999998</v>
      </c>
      <c r="E35" s="62">
        <f>ABS(K19-C17)+ABS(L19-D17)</f>
        <v>190</v>
      </c>
      <c r="F35" s="62">
        <f>ABS(K20-C17)+ABS(L20-D17)</f>
        <v>97.8</v>
      </c>
      <c r="J35" s="62" t="s">
        <v>68</v>
      </c>
      <c r="K35" s="62">
        <f t="shared" ref="K35:L38" si="0">$M17</f>
        <v>1E-3</v>
      </c>
      <c r="L35" s="62">
        <f t="shared" si="0"/>
        <v>1E-3</v>
      </c>
      <c r="M35" s="62">
        <v>0</v>
      </c>
      <c r="N35" s="62">
        <f>$M17</f>
        <v>1E-3</v>
      </c>
    </row>
    <row r="36" spans="1:14" x14ac:dyDescent="0.25">
      <c r="B36" s="62" t="s">
        <v>73</v>
      </c>
      <c r="C36" s="62">
        <f>ABS(C18-C19)+ABS(D18-D19)</f>
        <v>93</v>
      </c>
      <c r="D36" s="62">
        <f>ABS(K18-C18)+ABS(L18-D18)</f>
        <v>218.59999999999997</v>
      </c>
      <c r="E36" s="62">
        <f>ABS(K19-C18)+ABS(L19-D18)</f>
        <v>133.19999999999999</v>
      </c>
      <c r="F36" s="62">
        <f>ABS(K20-C18)+ABS(L20-D18)</f>
        <v>41</v>
      </c>
      <c r="J36" s="62" t="s">
        <v>66</v>
      </c>
      <c r="K36" s="62">
        <f t="shared" si="0"/>
        <v>1E-3</v>
      </c>
      <c r="L36" s="62">
        <f t="shared" si="0"/>
        <v>1E-3</v>
      </c>
      <c r="M36" s="62">
        <f>$M18</f>
        <v>1E-3</v>
      </c>
      <c r="N36" s="62">
        <f>$M18</f>
        <v>1E-3</v>
      </c>
    </row>
    <row r="37" spans="1:14" x14ac:dyDescent="0.25">
      <c r="B37" s="62" t="s">
        <v>68</v>
      </c>
      <c r="C37" s="62">
        <v>0</v>
      </c>
      <c r="D37" s="62">
        <f>ABS(K18-K17)+ABS(L18-L17)</f>
        <v>311.59999999999997</v>
      </c>
      <c r="E37" s="62">
        <f>ABS(K19-K17)+ABS(L19-L17)</f>
        <v>226.2</v>
      </c>
      <c r="F37" s="62">
        <f>ABS(K20-K17)+ABS(L20-L17)</f>
        <v>134</v>
      </c>
      <c r="J37" s="62" t="s">
        <v>64</v>
      </c>
      <c r="K37" s="62">
        <f t="shared" si="0"/>
        <v>3733.3330000000001</v>
      </c>
      <c r="L37" s="62">
        <f t="shared" si="0"/>
        <v>3733.3330000000001</v>
      </c>
      <c r="M37" s="62">
        <f>$M19</f>
        <v>3733.3330000000001</v>
      </c>
      <c r="N37" s="62">
        <f>$M19</f>
        <v>3733.3330000000001</v>
      </c>
    </row>
    <row r="38" spans="1:14" x14ac:dyDescent="0.25">
      <c r="B38" s="62" t="s">
        <v>96</v>
      </c>
      <c r="C38" s="62">
        <f>ABS(C20-C19)+ABS(D20-D19)</f>
        <v>134</v>
      </c>
      <c r="D38" s="62">
        <f>ABS(K18-K20)+ABS(L18-L20)</f>
        <v>177.59999999999997</v>
      </c>
      <c r="E38" s="62">
        <f>ABS(K19-K20)+ABS(L19-L20)</f>
        <v>92.2</v>
      </c>
      <c r="F38" s="62">
        <v>0</v>
      </c>
      <c r="J38" s="62" t="s">
        <v>96</v>
      </c>
      <c r="K38" s="62">
        <f t="shared" si="0"/>
        <v>4000</v>
      </c>
      <c r="L38" s="62">
        <f t="shared" si="0"/>
        <v>4000</v>
      </c>
      <c r="M38" s="62">
        <f>$M20</f>
        <v>4000</v>
      </c>
      <c r="N38" s="62">
        <v>0</v>
      </c>
    </row>
    <row r="39" spans="1:14" x14ac:dyDescent="0.25">
      <c r="J39" s="62"/>
      <c r="K39" s="62"/>
      <c r="L39" s="62"/>
      <c r="M39" s="62"/>
      <c r="N39" s="62"/>
    </row>
    <row r="40" spans="1:14" x14ac:dyDescent="0.25">
      <c r="J40" s="70" t="s">
        <v>14</v>
      </c>
      <c r="K40" s="70">
        <f>SUM(K35:K38)</f>
        <v>7733.335</v>
      </c>
      <c r="L40" s="70">
        <f t="shared" ref="L40:N40" si="1">SUM(L35:L38)</f>
        <v>7733.335</v>
      </c>
      <c r="M40" s="70">
        <f t="shared" si="1"/>
        <v>7733.3340000000007</v>
      </c>
      <c r="N40" s="70">
        <f t="shared" si="1"/>
        <v>3733.335</v>
      </c>
    </row>
    <row r="42" spans="1:14" x14ac:dyDescent="0.25">
      <c r="B42" s="68" t="s">
        <v>110</v>
      </c>
      <c r="C42" s="68"/>
      <c r="D42" s="68"/>
      <c r="E42" s="68" t="s">
        <v>111</v>
      </c>
      <c r="F42" s="68"/>
      <c r="G42" s="68"/>
      <c r="H42" s="68" t="s">
        <v>112</v>
      </c>
      <c r="I42" s="68"/>
      <c r="J42" s="68" t="s">
        <v>113</v>
      </c>
      <c r="K42" s="68"/>
    </row>
    <row r="43" spans="1:14" x14ac:dyDescent="0.25">
      <c r="A43" s="63" t="s">
        <v>114</v>
      </c>
      <c r="B43" s="62"/>
      <c r="C43" s="69" t="s">
        <v>115</v>
      </c>
      <c r="D43" s="69"/>
      <c r="E43" s="69" t="s">
        <v>116</v>
      </c>
      <c r="F43" s="62"/>
      <c r="G43" s="62"/>
      <c r="H43" s="69" t="s">
        <v>117</v>
      </c>
      <c r="I43" s="62"/>
      <c r="J43" s="69" t="s">
        <v>118</v>
      </c>
      <c r="K43" s="69" t="s">
        <v>8</v>
      </c>
    </row>
    <row r="44" spans="1:14" x14ac:dyDescent="0.25">
      <c r="B44" s="62" t="s">
        <v>70</v>
      </c>
      <c r="C44" s="62">
        <f>MMULT(C35:F35,K35:K38)/K40</f>
        <v>142.31036095035324</v>
      </c>
      <c r="D44" s="62"/>
      <c r="E44" s="62">
        <f>SUMPRODUCT(C44:C47,E17:E20)</f>
        <v>1374564.4198768903</v>
      </c>
      <c r="F44" s="62"/>
      <c r="G44" s="62"/>
      <c r="H44" s="62">
        <f>E17*C44/$E$44</f>
        <v>2.1741560720923342E-2</v>
      </c>
      <c r="I44" s="62"/>
      <c r="J44" s="69" t="s">
        <v>26</v>
      </c>
      <c r="K44" s="62" t="s">
        <v>68</v>
      </c>
      <c r="L44" s="62" t="s">
        <v>66</v>
      </c>
      <c r="M44" s="62" t="s">
        <v>64</v>
      </c>
      <c r="N44" s="62" t="s">
        <v>96</v>
      </c>
    </row>
    <row r="45" spans="1:14" x14ac:dyDescent="0.25">
      <c r="B45" s="62" t="s">
        <v>73</v>
      </c>
      <c r="C45" s="62">
        <f>MMULT(C36:F36,L35:L38)/L40</f>
        <v>85.510360950353245</v>
      </c>
      <c r="D45" s="62"/>
      <c r="E45" s="62"/>
      <c r="F45" s="62"/>
      <c r="G45" s="62"/>
      <c r="H45" s="62">
        <f>E18*C45/$E$44</f>
        <v>4.0124843925407008E-2</v>
      </c>
      <c r="I45" s="62"/>
      <c r="J45" s="62" t="s">
        <v>70</v>
      </c>
      <c r="K45" s="62">
        <f t="shared" ref="K45:N46" si="2">$E17</f>
        <v>210</v>
      </c>
      <c r="L45" s="62">
        <f t="shared" si="2"/>
        <v>210</v>
      </c>
      <c r="M45" s="62">
        <f t="shared" si="2"/>
        <v>210</v>
      </c>
      <c r="N45" s="62">
        <f t="shared" si="2"/>
        <v>210</v>
      </c>
    </row>
    <row r="46" spans="1:14" x14ac:dyDescent="0.25">
      <c r="B46" s="62" t="s">
        <v>68</v>
      </c>
      <c r="C46" s="62">
        <f>MMULT(C37:F37,M35:M38)/M40</f>
        <v>178.51035998186552</v>
      </c>
      <c r="D46" s="62"/>
      <c r="E46" s="62"/>
      <c r="F46" s="62"/>
      <c r="G46" s="62"/>
      <c r="H46" s="62">
        <f>E19*C46/$E$44</f>
        <v>0.46860286316892613</v>
      </c>
      <c r="I46" s="62"/>
      <c r="J46" s="62" t="s">
        <v>73</v>
      </c>
      <c r="K46" s="62">
        <f t="shared" si="2"/>
        <v>645</v>
      </c>
      <c r="L46" s="62">
        <f t="shared" si="2"/>
        <v>645</v>
      </c>
      <c r="M46" s="62">
        <f t="shared" si="2"/>
        <v>645</v>
      </c>
      <c r="N46" s="62">
        <f t="shared" si="2"/>
        <v>645</v>
      </c>
    </row>
    <row r="47" spans="1:14" x14ac:dyDescent="0.25">
      <c r="B47" s="62" t="s">
        <v>96</v>
      </c>
      <c r="C47" s="62">
        <f>MMULT(C38:F38,N35:N38)/N40</f>
        <v>92.20003407141337</v>
      </c>
      <c r="D47" s="62"/>
      <c r="E47" s="62"/>
      <c r="F47" s="62"/>
      <c r="G47" s="62"/>
      <c r="H47" s="62">
        <f>E20*C47/$E$44</f>
        <v>0.46953073218474356</v>
      </c>
      <c r="I47" s="62"/>
      <c r="J47" s="62" t="s">
        <v>68</v>
      </c>
      <c r="K47" s="62">
        <f>$P35</f>
        <v>0</v>
      </c>
      <c r="L47" s="62">
        <f>$E19</f>
        <v>3608.3330000000001</v>
      </c>
      <c r="M47" s="62">
        <f>$E19</f>
        <v>3608.3330000000001</v>
      </c>
      <c r="N47" s="62">
        <f>$E19</f>
        <v>3608.3330000000001</v>
      </c>
    </row>
    <row r="48" spans="1:14" x14ac:dyDescent="0.25">
      <c r="J48" s="62" t="s">
        <v>96</v>
      </c>
      <c r="K48" s="62">
        <f>$E20</f>
        <v>7000</v>
      </c>
      <c r="L48" s="62">
        <f>$E20</f>
        <v>7000</v>
      </c>
      <c r="M48" s="62">
        <f>$E20</f>
        <v>7000</v>
      </c>
      <c r="N48" s="62">
        <v>0</v>
      </c>
    </row>
    <row r="49" spans="2:16" x14ac:dyDescent="0.25">
      <c r="J49" s="62"/>
      <c r="K49" s="62"/>
      <c r="L49" s="62"/>
      <c r="M49" s="62"/>
      <c r="N49" s="62"/>
    </row>
    <row r="50" spans="2:16" x14ac:dyDescent="0.25">
      <c r="J50" s="70" t="s">
        <v>14</v>
      </c>
      <c r="K50" s="70">
        <f>SUM(K45:K48)</f>
        <v>7855</v>
      </c>
      <c r="L50" s="70">
        <f t="shared" ref="L50:N50" si="3">SUM(L45:L48)</f>
        <v>11463.333000000001</v>
      </c>
      <c r="M50" s="70">
        <f t="shared" si="3"/>
        <v>11463.333000000001</v>
      </c>
      <c r="N50" s="70">
        <f t="shared" si="3"/>
        <v>4463.3330000000005</v>
      </c>
    </row>
    <row r="52" spans="2:16" x14ac:dyDescent="0.25">
      <c r="B52" s="68" t="s">
        <v>119</v>
      </c>
      <c r="C52" s="68"/>
      <c r="D52" s="68"/>
      <c r="E52" s="68" t="s">
        <v>120</v>
      </c>
      <c r="F52" s="68"/>
      <c r="G52" s="68"/>
      <c r="H52" s="68" t="s">
        <v>121</v>
      </c>
      <c r="I52" s="68"/>
    </row>
    <row r="53" spans="2:16" x14ac:dyDescent="0.25">
      <c r="B53" s="62"/>
      <c r="C53" s="69" t="s">
        <v>122</v>
      </c>
      <c r="D53" s="69"/>
      <c r="E53" s="69" t="s">
        <v>116</v>
      </c>
      <c r="F53" s="69"/>
      <c r="G53" s="69"/>
      <c r="H53" s="69" t="s">
        <v>123</v>
      </c>
    </row>
    <row r="54" spans="2:16" x14ac:dyDescent="0.25">
      <c r="B54" s="62" t="s">
        <v>68</v>
      </c>
      <c r="C54" s="62">
        <f>SUMPRODUCT(K45:K48,C35:C38)/K50</f>
        <v>131.05576066199873</v>
      </c>
      <c r="E54" s="62">
        <f>SUMPRODUCT(C54:C57,M17:M20)</f>
        <v>992413.80012140376</v>
      </c>
      <c r="F54" s="62"/>
      <c r="G54" s="62"/>
      <c r="H54" s="62">
        <f>M17*C54/$E$54</f>
        <v>1.3205757582771061E-7</v>
      </c>
    </row>
    <row r="55" spans="2:16" x14ac:dyDescent="0.25">
      <c r="B55" s="62" t="s">
        <v>66</v>
      </c>
      <c r="C55" s="62">
        <f>SUMPRODUCT(L45:L48,D35:D38)/L50</f>
        <v>223.87795615812604</v>
      </c>
      <c r="E55" s="62"/>
      <c r="F55" s="62"/>
      <c r="G55" s="62"/>
      <c r="H55" s="62">
        <f>M18*C55/$E$54</f>
        <v>2.2558932184411248E-7</v>
      </c>
    </row>
    <row r="56" spans="2:16" x14ac:dyDescent="0.25">
      <c r="B56" s="62" t="s">
        <v>64</v>
      </c>
      <c r="C56" s="62">
        <f>SUMPRODUCT(M45:M48,E35:E38)/M50</f>
        <v>138.47795615812609</v>
      </c>
      <c r="E56" s="62"/>
      <c r="F56" s="62"/>
      <c r="G56" s="62"/>
      <c r="H56" s="62">
        <f>M19*C56/$E$54</f>
        <v>0.52093625001430022</v>
      </c>
    </row>
    <row r="57" spans="2:16" x14ac:dyDescent="0.25">
      <c r="B57" s="62" t="s">
        <v>96</v>
      </c>
      <c r="C57" s="62">
        <f>SUMPRODUCT(N45:N48,F35:F38)/N50</f>
        <v>118.85728042250038</v>
      </c>
      <c r="E57" s="62"/>
      <c r="F57" s="62"/>
      <c r="G57" s="62"/>
      <c r="H57" s="62">
        <f>M20*C57/$E$54</f>
        <v>0.47906339233880202</v>
      </c>
    </row>
    <row r="59" spans="2:16" x14ac:dyDescent="0.25">
      <c r="B59" s="68" t="s">
        <v>124</v>
      </c>
      <c r="C59" s="68"/>
      <c r="D59" s="68"/>
      <c r="E59" s="68"/>
      <c r="F59" s="68"/>
      <c r="G59" s="68"/>
      <c r="J59" s="68" t="s">
        <v>125</v>
      </c>
      <c r="K59" s="68"/>
      <c r="L59" s="68"/>
      <c r="M59" s="68"/>
      <c r="N59" s="68" t="s">
        <v>126</v>
      </c>
      <c r="O59" s="68"/>
    </row>
    <row r="60" spans="2:16" x14ac:dyDescent="0.25">
      <c r="J60" s="71" t="s">
        <v>127</v>
      </c>
    </row>
    <row r="61" spans="2:16" x14ac:dyDescent="0.25">
      <c r="B61" s="69" t="s">
        <v>26</v>
      </c>
      <c r="C61" s="69" t="s">
        <v>128</v>
      </c>
      <c r="D61" s="69" t="s">
        <v>129</v>
      </c>
      <c r="E61" s="69" t="s">
        <v>130</v>
      </c>
      <c r="F61" s="69" t="s">
        <v>131</v>
      </c>
      <c r="J61" s="72" t="s">
        <v>132</v>
      </c>
      <c r="K61" s="69" t="s">
        <v>133</v>
      </c>
      <c r="L61" s="69" t="s">
        <v>134</v>
      </c>
      <c r="N61" s="69" t="s">
        <v>135</v>
      </c>
      <c r="O61" s="69" t="s">
        <v>136</v>
      </c>
    </row>
    <row r="62" spans="2:16" x14ac:dyDescent="0.25">
      <c r="B62" s="62" t="s">
        <v>70</v>
      </c>
      <c r="C62" s="62">
        <f>H44</f>
        <v>2.1741560720923342E-2</v>
      </c>
      <c r="D62" s="62">
        <f>E27</f>
        <v>111.31896952932283</v>
      </c>
      <c r="E62" s="62">
        <f>C62*$D$62</f>
        <v>2.4202481354123875</v>
      </c>
      <c r="F62" s="62">
        <f>E62/E17</f>
        <v>1.1524991121011369E-2</v>
      </c>
      <c r="G62" s="62"/>
      <c r="J62" s="62" t="s">
        <v>137</v>
      </c>
      <c r="K62" s="62">
        <f>IF(J62="yes",F62*0,F62)</f>
        <v>1.1524991121011369E-2</v>
      </c>
      <c r="L62" s="62">
        <f>K62*E17</f>
        <v>2.4202481354123875</v>
      </c>
      <c r="M62" s="62"/>
      <c r="N62" s="62">
        <f>K62*$E$67/$L$67</f>
        <v>2.1726029800891528E-2</v>
      </c>
      <c r="O62" s="62">
        <f>N62*E17</f>
        <v>4.5624662581872206</v>
      </c>
      <c r="P62" s="62"/>
    </row>
    <row r="63" spans="2:16" x14ac:dyDescent="0.25">
      <c r="B63" s="62" t="s">
        <v>73</v>
      </c>
      <c r="C63" s="62">
        <f>H45</f>
        <v>4.0124843925407008E-2</v>
      </c>
      <c r="D63" s="62"/>
      <c r="E63" s="62">
        <f>C63*$D$62</f>
        <v>4.4666562783012171</v>
      </c>
      <c r="F63" s="62">
        <f>E63/E18</f>
        <v>6.9250484934902596E-3</v>
      </c>
      <c r="G63" s="62"/>
      <c r="J63" s="62" t="s">
        <v>137</v>
      </c>
      <c r="K63" s="62">
        <f>IF(J63="yes",F63*0,F63)</f>
        <v>6.9250484934902596E-3</v>
      </c>
      <c r="L63" s="62">
        <f>K63*E18</f>
        <v>4.4666562783012171</v>
      </c>
      <c r="M63" s="62"/>
      <c r="N63" s="62">
        <f>K63*$E$67/$L$67</f>
        <v>1.305457057297805E-2</v>
      </c>
      <c r="O63" s="62">
        <f>N63*E18</f>
        <v>8.4201980195708419</v>
      </c>
      <c r="P63" s="62"/>
    </row>
    <row r="64" spans="2:16" x14ac:dyDescent="0.25">
      <c r="B64" s="62" t="s">
        <v>68</v>
      </c>
      <c r="C64" s="62">
        <f>H46</f>
        <v>0.46860286316892613</v>
      </c>
      <c r="D64" s="62"/>
      <c r="E64" s="62">
        <f>C64*$D$62</f>
        <v>52.164387846455121</v>
      </c>
      <c r="F64" s="62">
        <f>E64/E19</f>
        <v>1.4456644618569051E-2</v>
      </c>
      <c r="G64" s="62"/>
      <c r="J64" s="62" t="s">
        <v>137</v>
      </c>
      <c r="K64" s="62">
        <f>IF(J64="yes",F64*0,F64)</f>
        <v>1.4456644618569051E-2</v>
      </c>
      <c r="L64" s="62">
        <f>K64*E19</f>
        <v>52.164387846455121</v>
      </c>
      <c r="M64" s="62"/>
      <c r="N64" s="62">
        <f>K64*$E$67/$L$67</f>
        <v>2.7252558245473679E-2</v>
      </c>
      <c r="O64" s="62">
        <f>N64*E19</f>
        <v>98.336305251564781</v>
      </c>
      <c r="P64" s="62"/>
    </row>
    <row r="65" spans="1:16" x14ac:dyDescent="0.25">
      <c r="B65" s="62" t="s">
        <v>96</v>
      </c>
      <c r="C65" s="62">
        <f>H47</f>
        <v>0.46953073218474356</v>
      </c>
      <c r="D65" s="62"/>
      <c r="E65" s="62">
        <f>C65*$D$62</f>
        <v>52.267677269154106</v>
      </c>
      <c r="F65" s="62">
        <f>E65/E20</f>
        <v>7.4668110384505867E-3</v>
      </c>
      <c r="G65" s="62"/>
      <c r="J65" s="62" t="s">
        <v>138</v>
      </c>
      <c r="K65" s="62">
        <f>IF(J65="yes",F65*0,F65)</f>
        <v>0</v>
      </c>
      <c r="L65" s="62">
        <f>K65*E20</f>
        <v>0</v>
      </c>
      <c r="M65" s="62"/>
      <c r="N65" s="62">
        <f>K65*$E$67/$L$67</f>
        <v>0</v>
      </c>
      <c r="O65" s="62">
        <f>N65*E20</f>
        <v>0</v>
      </c>
      <c r="P65" s="62"/>
    </row>
    <row r="66" spans="1:16" x14ac:dyDescent="0.25">
      <c r="B66" s="62"/>
      <c r="C66" s="62"/>
      <c r="D66" s="62"/>
      <c r="E66" s="62"/>
      <c r="F66" s="62"/>
      <c r="G66" s="62"/>
      <c r="J66" s="62"/>
      <c r="K66" s="62"/>
      <c r="L66" s="62"/>
      <c r="M66" s="62"/>
      <c r="N66" s="62"/>
      <c r="O66" s="62"/>
      <c r="P66" s="62"/>
    </row>
    <row r="67" spans="1:16" x14ac:dyDescent="0.25">
      <c r="E67" s="73">
        <f>SUM(E62:E65)</f>
        <v>111.31896952932283</v>
      </c>
      <c r="L67" s="73">
        <f>SUM(L62:L65)</f>
        <v>59.051292260168722</v>
      </c>
      <c r="O67" s="73">
        <f>SUM(O62:O65)</f>
        <v>111.31896952932284</v>
      </c>
    </row>
    <row r="70" spans="1:16" x14ac:dyDescent="0.25">
      <c r="B70" s="68" t="s">
        <v>139</v>
      </c>
      <c r="C70" s="68"/>
      <c r="D70" s="68"/>
      <c r="E70" s="68"/>
      <c r="F70" s="68"/>
      <c r="G70" s="68"/>
      <c r="J70" s="68" t="s">
        <v>140</v>
      </c>
      <c r="K70" s="68"/>
      <c r="L70" s="68"/>
      <c r="M70" s="68"/>
      <c r="N70" s="68" t="s">
        <v>141</v>
      </c>
      <c r="O70" s="68"/>
    </row>
    <row r="71" spans="1:16" x14ac:dyDescent="0.25">
      <c r="J71" s="71" t="s">
        <v>142</v>
      </c>
    </row>
    <row r="72" spans="1:16" x14ac:dyDescent="0.25">
      <c r="B72" s="69" t="s">
        <v>8</v>
      </c>
      <c r="C72" s="69" t="s">
        <v>143</v>
      </c>
      <c r="D72" s="69" t="s">
        <v>144</v>
      </c>
      <c r="E72" s="69" t="s">
        <v>145</v>
      </c>
      <c r="F72" s="69" t="s">
        <v>146</v>
      </c>
      <c r="J72" s="72" t="s">
        <v>132</v>
      </c>
      <c r="K72" s="69" t="s">
        <v>147</v>
      </c>
      <c r="L72" s="69" t="s">
        <v>148</v>
      </c>
      <c r="N72" s="69" t="s">
        <v>149</v>
      </c>
      <c r="O72" s="69" t="s">
        <v>150</v>
      </c>
    </row>
    <row r="73" spans="1:16" x14ac:dyDescent="0.25">
      <c r="B73" s="62" t="s">
        <v>68</v>
      </c>
      <c r="C73" s="62">
        <f>H54</f>
        <v>1.3205757582771061E-7</v>
      </c>
      <c r="D73" s="62">
        <f>E28</f>
        <v>111.31896952932283</v>
      </c>
      <c r="E73" s="62">
        <f>C73*$D$73</f>
        <v>1.4700513259681157E-5</v>
      </c>
      <c r="F73" s="62">
        <f>E73/M17</f>
        <v>1.4700513259681157E-2</v>
      </c>
      <c r="G73" s="62"/>
      <c r="J73" s="62" t="s">
        <v>137</v>
      </c>
      <c r="K73" s="62">
        <f>IF(J73="yes",F73*0,F73)</f>
        <v>1.4700513259681157E-2</v>
      </c>
      <c r="L73" s="62">
        <f>K73*M17</f>
        <v>1.4700513259681157E-5</v>
      </c>
      <c r="M73" s="62"/>
      <c r="N73" s="62">
        <f>K73*$E$78/$L$78</f>
        <v>2.8219389928614776E-2</v>
      </c>
      <c r="O73" s="62">
        <f>N73*M17</f>
        <v>2.8219389928614776E-5</v>
      </c>
      <c r="P73" s="62"/>
    </row>
    <row r="74" spans="1:16" x14ac:dyDescent="0.25">
      <c r="B74" s="62" t="s">
        <v>66</v>
      </c>
      <c r="C74" s="62">
        <f>H55</f>
        <v>2.2558932184411248E-7</v>
      </c>
      <c r="D74" s="62"/>
      <c r="E74" s="62">
        <f>C74*$D$73</f>
        <v>2.5112370844505359E-5</v>
      </c>
      <c r="F74" s="62">
        <f>E74/M18</f>
        <v>2.5112370844505356E-2</v>
      </c>
      <c r="G74" s="62"/>
      <c r="J74" s="62" t="s">
        <v>137</v>
      </c>
      <c r="K74" s="62">
        <f>IF(J74="yes",F74*0,F74)</f>
        <v>2.5112370844505356E-2</v>
      </c>
      <c r="L74" s="62">
        <f>K74*M18</f>
        <v>2.5112370844505359E-5</v>
      </c>
      <c r="M74" s="62"/>
      <c r="N74" s="62">
        <f>K74*$E$78/$L$78</f>
        <v>4.8206193373988633E-2</v>
      </c>
      <c r="O74" s="62">
        <f>N74*M18</f>
        <v>4.8206193373988635E-5</v>
      </c>
      <c r="P74" s="62"/>
    </row>
    <row r="75" spans="1:16" x14ac:dyDescent="0.25">
      <c r="B75" s="62" t="s">
        <v>64</v>
      </c>
      <c r="C75" s="62">
        <f>H56</f>
        <v>0.52093625001430022</v>
      </c>
      <c r="D75" s="62"/>
      <c r="E75" s="62">
        <f>C75*$D$73</f>
        <v>57.990086542061583</v>
      </c>
      <c r="F75" s="62">
        <f>E75/M19</f>
        <v>1.5533060282075449E-2</v>
      </c>
      <c r="G75" s="62"/>
      <c r="J75" s="62" t="s">
        <v>137</v>
      </c>
      <c r="K75" s="62">
        <f>IF(J75="yes",F75*0,F75)</f>
        <v>1.5533060282075449E-2</v>
      </c>
      <c r="L75" s="62">
        <f>K75*M19</f>
        <v>57.990086542061583</v>
      </c>
      <c r="M75" s="62"/>
      <c r="N75" s="62">
        <f>K75*$E$78/$L$78</f>
        <v>2.9817563315069809E-2</v>
      </c>
      <c r="O75" s="62">
        <f>N75*M19</f>
        <v>111.31889310373951</v>
      </c>
      <c r="P75" s="62"/>
    </row>
    <row r="76" spans="1:16" x14ac:dyDescent="0.25">
      <c r="B76" s="62" t="s">
        <v>96</v>
      </c>
      <c r="C76" s="62">
        <f>H57</f>
        <v>0.47906339233880202</v>
      </c>
      <c r="D76" s="62"/>
      <c r="E76" s="62">
        <f>C76*$D$73</f>
        <v>53.328843174377127</v>
      </c>
      <c r="F76" s="62">
        <f>E76/M20</f>
        <v>1.3332210793594281E-2</v>
      </c>
      <c r="G76" s="62"/>
      <c r="J76" s="62" t="s">
        <v>138</v>
      </c>
      <c r="K76" s="62">
        <f>IF(J76="yes",F76*0,F76)</f>
        <v>0</v>
      </c>
      <c r="L76" s="62">
        <f>K76*M20</f>
        <v>0</v>
      </c>
      <c r="M76" s="62"/>
      <c r="N76" s="62">
        <f>K76*$E$78/$L$78</f>
        <v>0</v>
      </c>
      <c r="O76" s="62">
        <f>N76*M20</f>
        <v>0</v>
      </c>
      <c r="P76" s="62"/>
    </row>
    <row r="77" spans="1:16" x14ac:dyDescent="0.25">
      <c r="B77" s="62"/>
      <c r="C77" s="62"/>
      <c r="D77" s="62"/>
      <c r="E77" s="62"/>
      <c r="F77" s="62"/>
      <c r="G77" s="62"/>
      <c r="J77" s="62"/>
      <c r="K77" s="62"/>
      <c r="L77" s="62"/>
      <c r="M77" s="62"/>
      <c r="N77" s="62"/>
      <c r="O77" s="62"/>
      <c r="P77" s="62"/>
    </row>
    <row r="78" spans="1:16" x14ac:dyDescent="0.25">
      <c r="E78" s="73">
        <f>SUM(E73:E76)</f>
        <v>111.31896952932281</v>
      </c>
      <c r="L78" s="73">
        <f>SUM(L73:L76)</f>
        <v>57.990126354945687</v>
      </c>
      <c r="O78" s="73">
        <f>SUM(O73:O76)</f>
        <v>111.31896952932281</v>
      </c>
    </row>
    <row r="80" spans="1:16" ht="18.75" x14ac:dyDescent="0.3">
      <c r="A80" s="58" t="s">
        <v>151</v>
      </c>
    </row>
    <row r="81" spans="2:12" ht="15" customHeight="1" x14ac:dyDescent="0.25"/>
    <row r="82" spans="2:12" ht="15" customHeight="1" x14ac:dyDescent="0.25">
      <c r="B82" s="68" t="s">
        <v>152</v>
      </c>
      <c r="J82" s="68" t="s">
        <v>153</v>
      </c>
    </row>
    <row r="83" spans="2:12" x14ac:dyDescent="0.25">
      <c r="B83" s="69" t="s">
        <v>154</v>
      </c>
      <c r="C83" s="69" t="s">
        <v>155</v>
      </c>
      <c r="D83" s="69" t="s">
        <v>156</v>
      </c>
      <c r="E83" s="69" t="s">
        <v>156</v>
      </c>
      <c r="F83" s="69" t="s">
        <v>155</v>
      </c>
      <c r="G83" s="74"/>
      <c r="J83" s="75" t="s">
        <v>157</v>
      </c>
      <c r="K83" s="75"/>
      <c r="L83" s="75"/>
    </row>
    <row r="84" spans="2:12" ht="15" customHeight="1" x14ac:dyDescent="0.25">
      <c r="B84" s="62"/>
      <c r="C84" s="62" t="s">
        <v>64</v>
      </c>
      <c r="D84" s="62" t="s">
        <v>68</v>
      </c>
      <c r="E84" s="62" t="s">
        <v>66</v>
      </c>
      <c r="F84" s="62" t="s">
        <v>96</v>
      </c>
      <c r="G84" s="74"/>
      <c r="J84" s="74"/>
      <c r="K84" s="69" t="s">
        <v>158</v>
      </c>
      <c r="L84" s="69" t="s">
        <v>159</v>
      </c>
    </row>
    <row r="85" spans="2:12" x14ac:dyDescent="0.25">
      <c r="B85" s="69" t="s">
        <v>160</v>
      </c>
      <c r="C85" s="62">
        <f>M19</f>
        <v>3733.3330000000001</v>
      </c>
      <c r="D85" s="62">
        <f>M17</f>
        <v>1E-3</v>
      </c>
      <c r="E85" s="62">
        <f>M18</f>
        <v>1E-3</v>
      </c>
      <c r="F85" s="62">
        <f>M20</f>
        <v>4000</v>
      </c>
      <c r="G85" s="74"/>
      <c r="J85" s="76" t="s">
        <v>70</v>
      </c>
      <c r="K85" s="62">
        <f>(K37*E35+K38*F35)/SUM(K37,K38)</f>
        <v>142.31034277199751</v>
      </c>
      <c r="L85" s="62">
        <f>(K35*C35+K36*D35)/SUM(K35,K36)</f>
        <v>212.6</v>
      </c>
    </row>
    <row r="86" spans="2:12" x14ac:dyDescent="0.25">
      <c r="B86" s="69" t="s">
        <v>161</v>
      </c>
      <c r="C86" s="62">
        <f>C85*C56</f>
        <v>516984.32349768537</v>
      </c>
      <c r="D86" s="62">
        <f>D85*C54</f>
        <v>0.13105576066199873</v>
      </c>
      <c r="E86" s="62">
        <f>E85*C55</f>
        <v>0.22387795615812606</v>
      </c>
      <c r="F86" s="62">
        <f>F85*C57</f>
        <v>475429.12169000151</v>
      </c>
      <c r="G86" s="74"/>
      <c r="J86" s="76" t="s">
        <v>73</v>
      </c>
      <c r="K86" s="62">
        <f>(L37*E36+L38*F36)/SUM(L37,L38)</f>
        <v>85.510342771997529</v>
      </c>
      <c r="L86" s="62">
        <f>(L35*C36+L36*D36)/SUM(L35,L36)</f>
        <v>155.79999999999998</v>
      </c>
    </row>
    <row r="87" spans="2:12" x14ac:dyDescent="0.25">
      <c r="J87" s="76" t="s">
        <v>68</v>
      </c>
      <c r="K87" s="62">
        <f>(M37*E37+M38*F37)/SUM(M37,M38)</f>
        <v>178.51034277199753</v>
      </c>
      <c r="L87" s="62">
        <f>(M35*C37+M36*D37)/SUM(M35,M36)</f>
        <v>311.59999999999997</v>
      </c>
    </row>
    <row r="88" spans="2:12" ht="35.25" customHeight="1" x14ac:dyDescent="0.25">
      <c r="C88" s="62" t="s">
        <v>162</v>
      </c>
      <c r="J88" s="76" t="s">
        <v>96</v>
      </c>
      <c r="K88" s="62">
        <f>(N37*E38+N38*F38)/SUM(N37,N38)</f>
        <v>92.2</v>
      </c>
      <c r="L88" s="62">
        <f>(N35*C38+N36*D38)/SUM(N35,N36)</f>
        <v>155.79999999999998</v>
      </c>
    </row>
    <row r="89" spans="2:12" x14ac:dyDescent="0.25">
      <c r="B89" s="68" t="s">
        <v>163</v>
      </c>
      <c r="J89" s="68" t="s">
        <v>164</v>
      </c>
      <c r="K89" s="62"/>
      <c r="L89" s="62"/>
    </row>
    <row r="90" spans="2:12" ht="23.25" customHeight="1" x14ac:dyDescent="0.25">
      <c r="C90" s="76" t="s">
        <v>165</v>
      </c>
      <c r="D90" s="76" t="s">
        <v>166</v>
      </c>
      <c r="E90" s="76" t="s">
        <v>167</v>
      </c>
      <c r="F90" s="76" t="s">
        <v>168</v>
      </c>
      <c r="G90" s="76" t="s">
        <v>169</v>
      </c>
      <c r="J90" s="76" t="s">
        <v>170</v>
      </c>
      <c r="K90" s="62">
        <f>SUMPRODUCT(C91:C94,N62:N65)</f>
        <v>1.942174575742026E-5</v>
      </c>
      <c r="L90" s="62"/>
    </row>
    <row r="91" spans="2:12" ht="22.5" customHeight="1" x14ac:dyDescent="0.25">
      <c r="B91" s="76" t="s">
        <v>70</v>
      </c>
      <c r="C91" s="62">
        <f>SUM($D$85:$E$85)/SUM($E$17:$E$20)*E17</f>
        <v>3.6638558785651611E-5</v>
      </c>
      <c r="D91" s="62" t="s">
        <v>171</v>
      </c>
      <c r="E91" s="62">
        <f>E17-C91</f>
        <v>209.99996336144122</v>
      </c>
      <c r="F91" s="62">
        <f>C91*L85</f>
        <v>7.7893575978295326E-3</v>
      </c>
      <c r="G91" s="62">
        <f>E91*K85</f>
        <v>29885.166768073617</v>
      </c>
      <c r="J91" s="76" t="s">
        <v>172</v>
      </c>
      <c r="K91" s="62">
        <f>E27-K90</f>
        <v>111.31895010757707</v>
      </c>
      <c r="L91" s="62"/>
    </row>
    <row r="92" spans="2:12" ht="23.25" x14ac:dyDescent="0.25">
      <c r="B92" s="76" t="s">
        <v>73</v>
      </c>
      <c r="C92" s="62">
        <f>SUM($D$85:$E$85)/SUM($E$17:$E$20)*E18</f>
        <v>1.1253271627021565E-4</v>
      </c>
      <c r="D92" s="62" t="s">
        <v>171</v>
      </c>
      <c r="E92" s="62">
        <f>E18-C92</f>
        <v>644.99988746728377</v>
      </c>
      <c r="F92" s="62">
        <f>C92*L86</f>
        <v>1.7532597194899597E-2</v>
      </c>
      <c r="G92" s="62">
        <f>E92*K86</f>
        <v>55154.161465227269</v>
      </c>
      <c r="J92" s="76" t="s">
        <v>173</v>
      </c>
      <c r="K92" s="62">
        <f>D85*N73+E85*N74</f>
        <v>7.6425583302603404E-5</v>
      </c>
      <c r="L92" s="62"/>
    </row>
    <row r="93" spans="2:12" ht="23.25" x14ac:dyDescent="0.25">
      <c r="B93" s="76" t="s">
        <v>68</v>
      </c>
      <c r="C93" s="62">
        <f>SUM($D$85:$E$85)/SUM($E$17:$E$20)*E19</f>
        <v>6.2954343208907913E-4</v>
      </c>
      <c r="D93" s="62" t="s">
        <v>171</v>
      </c>
      <c r="E93" s="62">
        <f>E19-C93</f>
        <v>3608.3323704565678</v>
      </c>
      <c r="F93" s="62">
        <f>C93*L87</f>
        <v>0.19616573343895705</v>
      </c>
      <c r="G93" s="62">
        <f>E93*K87</f>
        <v>644124.64828549628</v>
      </c>
      <c r="J93" s="76" t="s">
        <v>174</v>
      </c>
      <c r="K93" s="62">
        <f>E28-K92</f>
        <v>111.31889310373953</v>
      </c>
      <c r="L93" s="62"/>
    </row>
    <row r="94" spans="2:12" x14ac:dyDescent="0.25">
      <c r="B94" s="76" t="s">
        <v>96</v>
      </c>
      <c r="C94" s="62">
        <f>SUM($D$85:$E$85)/SUM($E$17:$E$20)*E20</f>
        <v>1.2212852928550537E-3</v>
      </c>
      <c r="D94" s="62" t="s">
        <v>171</v>
      </c>
      <c r="E94" s="62">
        <f>E20-C94</f>
        <v>6999.9987787147074</v>
      </c>
      <c r="F94" s="62">
        <f>C94*L88</f>
        <v>0.19027624862681736</v>
      </c>
      <c r="G94" s="62">
        <f>E94*K88</f>
        <v>645399.88739749603</v>
      </c>
      <c r="H94" s="69"/>
      <c r="J94" s="77" t="s">
        <v>175</v>
      </c>
      <c r="K94" s="62">
        <f>K91+K93</f>
        <v>222.63784321131658</v>
      </c>
      <c r="L94" s="62"/>
    </row>
    <row r="95" spans="2:12" x14ac:dyDescent="0.25">
      <c r="B95" s="76"/>
      <c r="C95" s="62"/>
      <c r="D95" s="62"/>
      <c r="E95" s="62"/>
      <c r="F95" s="62"/>
      <c r="G95" s="62"/>
      <c r="J95" s="77" t="s">
        <v>176</v>
      </c>
      <c r="K95" s="62">
        <f>K90+K92</f>
        <v>9.5847329060023661E-5</v>
      </c>
      <c r="L95" s="62"/>
    </row>
    <row r="96" spans="2:12" x14ac:dyDescent="0.25">
      <c r="B96" s="76" t="s">
        <v>177</v>
      </c>
      <c r="C96" s="62">
        <f>SUM(C91:C94)</f>
        <v>2E-3</v>
      </c>
      <c r="D96" s="62"/>
      <c r="E96" s="62">
        <f>SUM(E91:E94)</f>
        <v>11463.331</v>
      </c>
      <c r="F96" s="62">
        <f>SUM(F91:F94)</f>
        <v>0.41176393685850354</v>
      </c>
      <c r="G96" s="62">
        <f>SUM(G91:G94)</f>
        <v>1374563.8639162933</v>
      </c>
    </row>
    <row r="97" spans="2:12" x14ac:dyDescent="0.25">
      <c r="B97" s="76"/>
      <c r="C97" s="62"/>
      <c r="D97" s="62"/>
      <c r="E97" s="62"/>
      <c r="F97" s="62"/>
      <c r="G97" s="62"/>
    </row>
    <row r="98" spans="2:12" x14ac:dyDescent="0.25">
      <c r="B98" s="76" t="s">
        <v>178</v>
      </c>
      <c r="C98" s="62">
        <f>SUM(D85:E85)</f>
        <v>2E-3</v>
      </c>
      <c r="D98" s="62"/>
      <c r="E98" s="62"/>
      <c r="F98" s="62"/>
      <c r="G98" s="62"/>
    </row>
    <row r="99" spans="2:12" x14ac:dyDescent="0.25">
      <c r="B99" s="76"/>
    </row>
    <row r="100" spans="2:12" x14ac:dyDescent="0.25">
      <c r="B100" s="76"/>
    </row>
    <row r="101" spans="2:12" x14ac:dyDescent="0.25">
      <c r="B101" s="68" t="s">
        <v>179</v>
      </c>
      <c r="J101" s="68" t="s">
        <v>180</v>
      </c>
    </row>
    <row r="102" spans="2:12" x14ac:dyDescent="0.25">
      <c r="B102" s="76" t="s">
        <v>169</v>
      </c>
      <c r="C102" s="78"/>
      <c r="D102" s="62">
        <f>G96</f>
        <v>1374563.8639162933</v>
      </c>
      <c r="E102" s="62"/>
      <c r="J102" s="79" t="s">
        <v>181</v>
      </c>
      <c r="K102" s="80"/>
      <c r="L102" s="81"/>
    </row>
    <row r="103" spans="2:12" ht="42" customHeight="1" x14ac:dyDescent="0.25">
      <c r="B103" s="76" t="s">
        <v>182</v>
      </c>
      <c r="C103" s="78"/>
      <c r="D103" s="62">
        <f>C86+F86</f>
        <v>992413.44518768694</v>
      </c>
      <c r="E103" s="62"/>
      <c r="J103" s="82" t="s">
        <v>183</v>
      </c>
      <c r="K103" s="83">
        <f>K94*10^6/D104</f>
        <v>94.059982051790854</v>
      </c>
      <c r="L103" s="84" t="s">
        <v>184</v>
      </c>
    </row>
    <row r="104" spans="2:12" x14ac:dyDescent="0.25">
      <c r="B104" s="77" t="s">
        <v>185</v>
      </c>
      <c r="C104" s="78"/>
      <c r="D104" s="62">
        <f>SUM(D102:D103)</f>
        <v>2366977.3091039802</v>
      </c>
      <c r="E104" s="62"/>
      <c r="J104" s="82" t="s">
        <v>186</v>
      </c>
      <c r="K104" s="83">
        <f>K95*10^6/D107</f>
        <v>125.01320253185405</v>
      </c>
      <c r="L104" s="84" t="s">
        <v>187</v>
      </c>
    </row>
    <row r="105" spans="2:12" ht="15" customHeight="1" x14ac:dyDescent="0.25">
      <c r="B105" s="76" t="s">
        <v>188</v>
      </c>
      <c r="C105" s="78"/>
      <c r="D105" s="62">
        <f>F96</f>
        <v>0.41176393685850354</v>
      </c>
      <c r="E105" s="62"/>
      <c r="J105" s="82" t="s">
        <v>189</v>
      </c>
      <c r="K105" s="85">
        <f>2*(ABS(K103-K104))/(K103+K104)</f>
        <v>0.2825833799685773</v>
      </c>
      <c r="L105" s="84" t="s">
        <v>190</v>
      </c>
    </row>
    <row r="106" spans="2:12" ht="15" customHeight="1" x14ac:dyDescent="0.25">
      <c r="B106" s="76" t="s">
        <v>191</v>
      </c>
      <c r="C106" s="78"/>
      <c r="D106" s="62">
        <f>SUM(D86:E86)</f>
        <v>0.35493371682012476</v>
      </c>
      <c r="E106" s="62"/>
    </row>
    <row r="107" spans="2:12" ht="15" customHeight="1" x14ac:dyDescent="0.25">
      <c r="B107" s="77" t="s">
        <v>192</v>
      </c>
      <c r="C107" s="78"/>
      <c r="D107" s="62">
        <f>SUM(D105:D106)</f>
        <v>0.7666976536786283</v>
      </c>
      <c r="E107" s="62"/>
    </row>
    <row r="108" spans="2:12" ht="15" customHeight="1" x14ac:dyDescent="0.25">
      <c r="D108" s="62"/>
      <c r="E108" s="62"/>
    </row>
    <row r="109" spans="2:12" x14ac:dyDescent="0.25">
      <c r="D109" s="62"/>
      <c r="E109" s="62"/>
    </row>
  </sheetData>
  <conditionalFormatting sqref="K105">
    <cfRule type="cellIs" dxfId="39" priority="1" operator="lessThan">
      <formula>0.1</formula>
    </cfRule>
    <cfRule type="cellIs" dxfId="38" priority="2" operator="greaterThan">
      <formula>0.1</formula>
    </cfRule>
  </conditionalFormatting>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0000"/>
  </sheetPr>
  <dimension ref="A1:P102"/>
  <sheetViews>
    <sheetView showGridLines="0" zoomScaleNormal="100" workbookViewId="0">
      <selection activeCell="A25" sqref="A25"/>
    </sheetView>
  </sheetViews>
  <sheetFormatPr defaultColWidth="9.140625" defaultRowHeight="15" x14ac:dyDescent="0.25"/>
  <cols>
    <col min="1" max="1" width="9.140625" style="53"/>
    <col min="2" max="2" width="14" style="53" customWidth="1"/>
    <col min="3" max="3" width="12.140625" style="53" customWidth="1"/>
    <col min="4" max="4" width="10.5703125" style="53" customWidth="1"/>
    <col min="5" max="5" width="12" style="53" customWidth="1"/>
    <col min="6" max="6" width="9.42578125" style="53" bestFit="1" customWidth="1"/>
    <col min="7" max="7" width="10" style="53" bestFit="1" customWidth="1"/>
    <col min="8" max="8" width="9.140625" style="53"/>
    <col min="9" max="9" width="13.42578125" style="53" customWidth="1"/>
    <col min="10" max="10" width="19.5703125" style="53" customWidth="1"/>
    <col min="11" max="14" width="9.42578125" style="53" bestFit="1" customWidth="1"/>
    <col min="15" max="16384" width="9.140625" style="53"/>
  </cols>
  <sheetData>
    <row r="1" spans="1:5" x14ac:dyDescent="0.25">
      <c r="A1" s="53" t="s">
        <v>86</v>
      </c>
    </row>
    <row r="2" spans="1:5" ht="15.75" x14ac:dyDescent="0.25">
      <c r="A2" s="54" t="s">
        <v>87</v>
      </c>
    </row>
    <row r="3" spans="1:5" x14ac:dyDescent="0.25">
      <c r="A3" s="55" t="s">
        <v>88</v>
      </c>
    </row>
    <row r="4" spans="1:5" x14ac:dyDescent="0.25">
      <c r="B4" s="56"/>
      <c r="C4" s="56"/>
      <c r="D4" s="56"/>
      <c r="E4" s="56"/>
    </row>
    <row r="5" spans="1:5" x14ac:dyDescent="0.25">
      <c r="A5" s="57" t="s">
        <v>89</v>
      </c>
      <c r="B5" s="55"/>
      <c r="C5" s="55"/>
      <c r="D5" s="55"/>
      <c r="E5" s="55"/>
    </row>
    <row r="14" spans="1:5" ht="18.75" x14ac:dyDescent="0.3">
      <c r="A14" s="58" t="s">
        <v>203</v>
      </c>
    </row>
    <row r="16" spans="1:5" x14ac:dyDescent="0.25">
      <c r="B16" s="69" t="s">
        <v>204</v>
      </c>
    </row>
    <row r="17" spans="1:14" x14ac:dyDescent="0.25">
      <c r="B17" s="69" t="s">
        <v>26</v>
      </c>
      <c r="C17" s="62" t="s">
        <v>92</v>
      </c>
      <c r="D17" s="62" t="s">
        <v>93</v>
      </c>
      <c r="E17" s="62" t="s">
        <v>205</v>
      </c>
      <c r="F17" s="62"/>
      <c r="J17" s="69" t="s">
        <v>8</v>
      </c>
      <c r="K17" s="62" t="s">
        <v>92</v>
      </c>
      <c r="L17" s="62" t="s">
        <v>93</v>
      </c>
      <c r="M17" s="62" t="s">
        <v>205</v>
      </c>
      <c r="N17" s="62"/>
    </row>
    <row r="18" spans="1:14" x14ac:dyDescent="0.25">
      <c r="A18" s="63" t="s">
        <v>95</v>
      </c>
      <c r="B18" s="62" t="s">
        <v>70</v>
      </c>
      <c r="C18" s="62">
        <v>0</v>
      </c>
      <c r="D18" s="62">
        <v>93</v>
      </c>
      <c r="E18" s="62">
        <f>'Forecasted Capacities'!K3</f>
        <v>2208.25</v>
      </c>
      <c r="F18" s="62"/>
      <c r="J18" s="62" t="s">
        <v>68</v>
      </c>
      <c r="K18" s="62">
        <v>56.8</v>
      </c>
      <c r="L18" s="62">
        <v>0</v>
      </c>
      <c r="M18" s="62">
        <f>'Forecasted Capacities'!C5</f>
        <v>1</v>
      </c>
      <c r="N18" s="63" t="s">
        <v>206</v>
      </c>
    </row>
    <row r="19" spans="1:14" x14ac:dyDescent="0.25">
      <c r="B19" s="62" t="s">
        <v>73</v>
      </c>
      <c r="C19" s="62">
        <v>56.8</v>
      </c>
      <c r="D19" s="62">
        <v>93</v>
      </c>
      <c r="E19" s="62">
        <f>'Forecasted Capacities'!K5</f>
        <v>4320</v>
      </c>
      <c r="F19" s="62"/>
      <c r="J19" s="62" t="s">
        <v>66</v>
      </c>
      <c r="K19" s="62">
        <v>275.39999999999998</v>
      </c>
      <c r="L19" s="62">
        <v>93</v>
      </c>
      <c r="M19" s="62">
        <f>'Forecasted Capacities'!C4</f>
        <v>1</v>
      </c>
      <c r="N19" s="62"/>
    </row>
    <row r="20" spans="1:14" x14ac:dyDescent="0.25">
      <c r="B20" s="62" t="s">
        <v>68</v>
      </c>
      <c r="C20" s="62">
        <v>56.8</v>
      </c>
      <c r="D20" s="62">
        <v>0</v>
      </c>
      <c r="E20" s="62">
        <f>'Forecasted Capacities'!K4</f>
        <v>32196.424143103508</v>
      </c>
      <c r="F20" s="62"/>
      <c r="J20" s="62" t="s">
        <v>64</v>
      </c>
      <c r="K20" s="62">
        <v>190</v>
      </c>
      <c r="L20" s="62">
        <v>93</v>
      </c>
      <c r="M20" s="62">
        <f>'Forecasted Capacities'!C3</f>
        <v>32801.983742960401</v>
      </c>
      <c r="N20" s="62"/>
    </row>
    <row r="21" spans="1:14" x14ac:dyDescent="0.25">
      <c r="B21" s="62" t="s">
        <v>96</v>
      </c>
      <c r="C21" s="62">
        <v>97.8</v>
      </c>
      <c r="D21" s="62">
        <v>93</v>
      </c>
      <c r="E21" s="62">
        <f>'Forecasted Capacities'!K6</f>
        <v>6000</v>
      </c>
      <c r="F21" s="62"/>
      <c r="J21" s="62" t="s">
        <v>96</v>
      </c>
      <c r="K21" s="62">
        <v>97.8</v>
      </c>
      <c r="L21" s="62">
        <v>93</v>
      </c>
      <c r="M21" s="62">
        <f>'Forecasted Capacities'!C6</f>
        <v>6000</v>
      </c>
      <c r="N21" s="62"/>
    </row>
    <row r="23" spans="1:14" x14ac:dyDescent="0.25">
      <c r="E23" s="73">
        <f>SUM(E18:E21)</f>
        <v>44724.674143103504</v>
      </c>
      <c r="M23" s="73">
        <f>SUM(M18:M21)</f>
        <v>38803.983742960401</v>
      </c>
    </row>
    <row r="24" spans="1:14" x14ac:dyDescent="0.25">
      <c r="B24" s="69" t="s">
        <v>97</v>
      </c>
    </row>
    <row r="25" spans="1:14" ht="15.75" x14ac:dyDescent="0.25">
      <c r="B25" s="54"/>
      <c r="C25" s="62" t="s">
        <v>98</v>
      </c>
      <c r="E25" s="62">
        <f>'10. Current tariff method 21'!B13+'10. Current tariff method 21'!B14</f>
        <v>318.0541986552081</v>
      </c>
    </row>
    <row r="26" spans="1:14" x14ac:dyDescent="0.25">
      <c r="A26" s="63" t="s">
        <v>99</v>
      </c>
      <c r="C26" s="62" t="s">
        <v>105</v>
      </c>
      <c r="E26" s="62">
        <f>'10. Current tariff method 21'!B13</f>
        <v>95.41625959656244</v>
      </c>
    </row>
    <row r="27" spans="1:14" x14ac:dyDescent="0.25">
      <c r="A27" s="63" t="s">
        <v>101</v>
      </c>
      <c r="C27" s="62" t="s">
        <v>102</v>
      </c>
      <c r="D27" s="62"/>
      <c r="E27" s="62">
        <v>0</v>
      </c>
    </row>
    <row r="28" spans="1:14" x14ac:dyDescent="0.25">
      <c r="A28" s="63" t="s">
        <v>101</v>
      </c>
      <c r="C28" s="62" t="s">
        <v>207</v>
      </c>
      <c r="D28" s="62"/>
      <c r="E28" s="62">
        <f>E26*E27</f>
        <v>0</v>
      </c>
    </row>
    <row r="29" spans="1:14" x14ac:dyDescent="0.25">
      <c r="C29" s="62" t="s">
        <v>208</v>
      </c>
      <c r="D29" s="62"/>
      <c r="E29" s="62">
        <f>E26-E28</f>
        <v>95.41625959656244</v>
      </c>
    </row>
    <row r="30" spans="1:14" x14ac:dyDescent="0.25">
      <c r="C30" s="62"/>
      <c r="E30" s="73"/>
    </row>
    <row r="33" spans="2:14" x14ac:dyDescent="0.25">
      <c r="B33" s="68" t="s">
        <v>106</v>
      </c>
      <c r="C33" s="62"/>
      <c r="D33" s="62"/>
      <c r="E33" s="62"/>
      <c r="F33" s="62"/>
      <c r="G33" s="62"/>
      <c r="H33" s="62"/>
      <c r="J33" s="68" t="s">
        <v>107</v>
      </c>
    </row>
    <row r="34" spans="2:14" x14ac:dyDescent="0.25">
      <c r="B34" s="69" t="s">
        <v>108</v>
      </c>
      <c r="C34" s="69" t="s">
        <v>8</v>
      </c>
      <c r="D34" s="62"/>
      <c r="E34" s="62"/>
      <c r="F34" s="62"/>
      <c r="G34" s="62"/>
      <c r="H34" s="62"/>
      <c r="J34" s="69" t="s">
        <v>209</v>
      </c>
      <c r="K34" s="62" t="s">
        <v>26</v>
      </c>
    </row>
    <row r="35" spans="2:14" x14ac:dyDescent="0.25">
      <c r="B35" s="69" t="s">
        <v>26</v>
      </c>
      <c r="C35" s="62" t="s">
        <v>68</v>
      </c>
      <c r="D35" s="62" t="s">
        <v>66</v>
      </c>
      <c r="E35" s="62" t="s">
        <v>64</v>
      </c>
      <c r="F35" s="62" t="s">
        <v>96</v>
      </c>
      <c r="G35" s="62"/>
      <c r="H35" s="62"/>
      <c r="J35" s="62" t="s">
        <v>8</v>
      </c>
      <c r="K35" s="62" t="s">
        <v>70</v>
      </c>
      <c r="L35" s="62" t="s">
        <v>73</v>
      </c>
      <c r="M35" s="62" t="s">
        <v>68</v>
      </c>
      <c r="N35" s="62" t="s">
        <v>96</v>
      </c>
    </row>
    <row r="36" spans="2:14" x14ac:dyDescent="0.25">
      <c r="B36" s="62" t="s">
        <v>70</v>
      </c>
      <c r="C36" s="62">
        <f>ABS(C20-C18)+ABS(D18-D20)</f>
        <v>149.80000000000001</v>
      </c>
      <c r="D36" s="62">
        <f>ABS(K19-C18)+ABS(L19-D18)</f>
        <v>275.39999999999998</v>
      </c>
      <c r="E36" s="62">
        <f>ABS(K20-C18)+ABS(L20-D18)</f>
        <v>190</v>
      </c>
      <c r="F36" s="62">
        <f>ABS(K21-C18)+ABS(L21-D18)</f>
        <v>97.8</v>
      </c>
      <c r="G36" s="62"/>
      <c r="H36" s="62"/>
      <c r="J36" s="62" t="s">
        <v>68</v>
      </c>
      <c r="K36" s="62">
        <f t="shared" ref="K36:L39" si="0">$M18</f>
        <v>1</v>
      </c>
      <c r="L36" s="62">
        <f t="shared" si="0"/>
        <v>1</v>
      </c>
      <c r="M36" s="62">
        <v>0</v>
      </c>
      <c r="N36" s="62">
        <f>$M18</f>
        <v>1</v>
      </c>
    </row>
    <row r="37" spans="2:14" x14ac:dyDescent="0.25">
      <c r="B37" s="62" t="s">
        <v>73</v>
      </c>
      <c r="C37" s="62">
        <f>ABS(C19-C20)+ABS(D19-D20)</f>
        <v>93</v>
      </c>
      <c r="D37" s="62">
        <f>ABS(K19-C19)+ABS(L19-D19)</f>
        <v>218.59999999999997</v>
      </c>
      <c r="E37" s="62">
        <f>ABS(K20-C19)+ABS(L20-D19)</f>
        <v>133.19999999999999</v>
      </c>
      <c r="F37" s="62">
        <f>ABS(K21-C19)+ABS(L21-D19)</f>
        <v>41</v>
      </c>
      <c r="G37" s="62"/>
      <c r="H37" s="62"/>
      <c r="J37" s="62" t="s">
        <v>66</v>
      </c>
      <c r="K37" s="62">
        <f t="shared" si="0"/>
        <v>1</v>
      </c>
      <c r="L37" s="62">
        <f t="shared" si="0"/>
        <v>1</v>
      </c>
      <c r="M37" s="62">
        <f>$M19</f>
        <v>1</v>
      </c>
      <c r="N37" s="62">
        <f>$M19</f>
        <v>1</v>
      </c>
    </row>
    <row r="38" spans="2:14" x14ac:dyDescent="0.25">
      <c r="B38" s="62" t="s">
        <v>68</v>
      </c>
      <c r="C38" s="62">
        <v>0</v>
      </c>
      <c r="D38" s="62">
        <f>ABS(K19-K18)+ABS(L19-L18)</f>
        <v>311.59999999999997</v>
      </c>
      <c r="E38" s="62">
        <f>ABS(K20-K18)+ABS(L20-L18)</f>
        <v>226.2</v>
      </c>
      <c r="F38" s="62">
        <f>ABS(K21-K18)+ABS(L21-L18)</f>
        <v>134</v>
      </c>
      <c r="G38" s="62"/>
      <c r="H38" s="62"/>
      <c r="I38" s="69"/>
      <c r="J38" s="62" t="s">
        <v>64</v>
      </c>
      <c r="K38" s="62">
        <f t="shared" si="0"/>
        <v>32801.983742960401</v>
      </c>
      <c r="L38" s="62">
        <f t="shared" si="0"/>
        <v>32801.983742960401</v>
      </c>
      <c r="M38" s="62">
        <f>$M20</f>
        <v>32801.983742960401</v>
      </c>
      <c r="N38" s="62">
        <f>$M20</f>
        <v>32801.983742960401</v>
      </c>
    </row>
    <row r="39" spans="2:14" x14ac:dyDescent="0.25">
      <c r="B39" s="62" t="s">
        <v>96</v>
      </c>
      <c r="C39" s="62">
        <f>ABS(C21-C20)+ABS(D21-D20)</f>
        <v>134</v>
      </c>
      <c r="D39" s="62">
        <f>ABS(K19-K21)+ABS(L19-L21)</f>
        <v>177.59999999999997</v>
      </c>
      <c r="E39" s="62">
        <f>ABS(K20-K21)+ABS(L20-L21)</f>
        <v>92.2</v>
      </c>
      <c r="F39" s="62">
        <v>0</v>
      </c>
      <c r="G39" s="62"/>
      <c r="H39" s="62"/>
      <c r="J39" s="62" t="s">
        <v>96</v>
      </c>
      <c r="K39" s="62">
        <f t="shared" si="0"/>
        <v>6000</v>
      </c>
      <c r="L39" s="62">
        <f t="shared" si="0"/>
        <v>6000</v>
      </c>
      <c r="M39" s="62">
        <f>$M21</f>
        <v>6000</v>
      </c>
      <c r="N39" s="62">
        <v>0</v>
      </c>
    </row>
    <row r="40" spans="2:14" x14ac:dyDescent="0.25">
      <c r="J40" s="62"/>
      <c r="K40" s="62"/>
      <c r="L40" s="62"/>
      <c r="M40" s="62"/>
      <c r="N40" s="62"/>
    </row>
    <row r="41" spans="2:14" x14ac:dyDescent="0.25">
      <c r="J41" s="70" t="s">
        <v>14</v>
      </c>
      <c r="K41" s="70">
        <f>SUM(K36:K39)</f>
        <v>38803.983742960401</v>
      </c>
      <c r="L41" s="70">
        <f t="shared" ref="L41:N41" si="1">SUM(L36:L39)</f>
        <v>38803.983742960401</v>
      </c>
      <c r="M41" s="70">
        <f t="shared" si="1"/>
        <v>38802.983742960401</v>
      </c>
      <c r="N41" s="70">
        <f t="shared" si="1"/>
        <v>32803.983742960401</v>
      </c>
    </row>
    <row r="43" spans="2:14" x14ac:dyDescent="0.25">
      <c r="B43" s="68" t="s">
        <v>110</v>
      </c>
      <c r="C43" s="68"/>
      <c r="D43" s="68"/>
      <c r="E43" s="68" t="s">
        <v>111</v>
      </c>
      <c r="F43" s="68"/>
      <c r="G43" s="68"/>
      <c r="H43" s="68"/>
      <c r="I43" s="68"/>
      <c r="J43" s="68" t="s">
        <v>193</v>
      </c>
      <c r="K43" s="68"/>
    </row>
    <row r="44" spans="2:14" x14ac:dyDescent="0.25">
      <c r="B44" s="62"/>
      <c r="C44" s="69" t="s">
        <v>115</v>
      </c>
      <c r="D44" s="69"/>
      <c r="E44" s="69" t="s">
        <v>116</v>
      </c>
      <c r="F44" s="62"/>
      <c r="G44" s="62"/>
      <c r="H44" s="69"/>
      <c r="I44" s="62"/>
      <c r="J44" s="69" t="s">
        <v>210</v>
      </c>
      <c r="K44" s="69" t="s">
        <v>8</v>
      </c>
    </row>
    <row r="45" spans="2:14" x14ac:dyDescent="0.25">
      <c r="B45" s="62" t="s">
        <v>70</v>
      </c>
      <c r="C45" s="62">
        <f>MMULT(C36:F36,K36:K39)/K41</f>
        <v>175.74489661514843</v>
      </c>
      <c r="D45" s="62"/>
      <c r="E45" s="62">
        <f>SUMPRODUCT(C45:C48,E18:E21)</f>
        <v>8279043.200725209</v>
      </c>
      <c r="F45" s="62"/>
      <c r="G45" s="62"/>
      <c r="H45" s="62"/>
      <c r="I45" s="62"/>
      <c r="J45" s="69" t="s">
        <v>26</v>
      </c>
      <c r="K45" s="62" t="s">
        <v>68</v>
      </c>
      <c r="L45" s="62" t="s">
        <v>66</v>
      </c>
      <c r="M45" s="62" t="s">
        <v>64</v>
      </c>
      <c r="N45" s="62" t="s">
        <v>96</v>
      </c>
    </row>
    <row r="46" spans="2:14" x14ac:dyDescent="0.25">
      <c r="B46" s="62" t="s">
        <v>73</v>
      </c>
      <c r="C46" s="62">
        <f>MMULT(C37:F37,L36:L39)/L41</f>
        <v>118.94489661514842</v>
      </c>
      <c r="D46" s="62"/>
      <c r="E46" s="62"/>
      <c r="F46" s="62"/>
      <c r="G46" s="62"/>
      <c r="H46" s="62"/>
      <c r="I46" s="62"/>
      <c r="J46" s="62" t="s">
        <v>70</v>
      </c>
      <c r="K46" s="62">
        <f t="shared" ref="K46:N47" si="2">$E18</f>
        <v>2208.25</v>
      </c>
      <c r="L46" s="62">
        <f t="shared" si="2"/>
        <v>2208.25</v>
      </c>
      <c r="M46" s="62">
        <f t="shared" si="2"/>
        <v>2208.25</v>
      </c>
      <c r="N46" s="62">
        <f t="shared" si="2"/>
        <v>2208.25</v>
      </c>
    </row>
    <row r="47" spans="2:14" x14ac:dyDescent="0.25">
      <c r="B47" s="62" t="s">
        <v>68</v>
      </c>
      <c r="C47" s="62">
        <f>MMULT(C38:F38,M36:M39)/M41</f>
        <v>211.9455652466327</v>
      </c>
      <c r="D47" s="62"/>
      <c r="E47" s="62"/>
      <c r="F47" s="62"/>
      <c r="G47" s="62"/>
      <c r="H47" s="62"/>
      <c r="I47" s="62"/>
      <c r="J47" s="62" t="s">
        <v>73</v>
      </c>
      <c r="K47" s="62">
        <f t="shared" si="2"/>
        <v>4320</v>
      </c>
      <c r="L47" s="62">
        <f t="shared" si="2"/>
        <v>4320</v>
      </c>
      <c r="M47" s="62">
        <f t="shared" si="2"/>
        <v>4320</v>
      </c>
      <c r="N47" s="62">
        <f t="shared" si="2"/>
        <v>4320</v>
      </c>
    </row>
    <row r="48" spans="2:14" x14ac:dyDescent="0.25">
      <c r="B48" s="62" t="s">
        <v>96</v>
      </c>
      <c r="C48" s="62">
        <f>MMULT(C39:F39,N36:N39)/N41</f>
        <v>92.203877577827029</v>
      </c>
      <c r="D48" s="62"/>
      <c r="E48" s="62"/>
      <c r="F48" s="62"/>
      <c r="G48" s="62"/>
      <c r="H48" s="62"/>
      <c r="I48" s="62"/>
      <c r="J48" s="62" t="s">
        <v>68</v>
      </c>
      <c r="K48" s="62">
        <f>$P36</f>
        <v>0</v>
      </c>
      <c r="L48" s="62">
        <f>$E20</f>
        <v>32196.424143103508</v>
      </c>
      <c r="M48" s="62">
        <f>$E20</f>
        <v>32196.424143103508</v>
      </c>
      <c r="N48" s="62">
        <f>$E20</f>
        <v>32196.424143103508</v>
      </c>
    </row>
    <row r="49" spans="2:14" x14ac:dyDescent="0.25">
      <c r="J49" s="62" t="s">
        <v>96</v>
      </c>
      <c r="K49" s="62">
        <f>$E21</f>
        <v>6000</v>
      </c>
      <c r="L49" s="62">
        <f>$E21</f>
        <v>6000</v>
      </c>
      <c r="M49" s="62">
        <f>$E21</f>
        <v>6000</v>
      </c>
      <c r="N49" s="62">
        <v>0</v>
      </c>
    </row>
    <row r="50" spans="2:14" x14ac:dyDescent="0.25">
      <c r="J50" s="62"/>
      <c r="K50" s="62"/>
      <c r="L50" s="62"/>
      <c r="M50" s="62"/>
      <c r="N50" s="62"/>
    </row>
    <row r="51" spans="2:14" x14ac:dyDescent="0.25">
      <c r="J51" s="70" t="s">
        <v>14</v>
      </c>
      <c r="K51" s="70">
        <f>SUM(K46:K49)</f>
        <v>12528.25</v>
      </c>
      <c r="L51" s="70">
        <f t="shared" ref="L51:N51" si="3">SUM(L46:L49)</f>
        <v>44724.674143103504</v>
      </c>
      <c r="M51" s="70">
        <f t="shared" si="3"/>
        <v>44724.674143103504</v>
      </c>
      <c r="N51" s="70">
        <f t="shared" si="3"/>
        <v>38724.674143103504</v>
      </c>
    </row>
    <row r="53" spans="2:14" x14ac:dyDescent="0.25">
      <c r="B53" s="68" t="s">
        <v>194</v>
      </c>
      <c r="C53" s="68"/>
      <c r="D53" s="68"/>
      <c r="E53" s="68" t="s">
        <v>195</v>
      </c>
      <c r="F53" s="68"/>
      <c r="G53" s="68"/>
      <c r="H53" s="68"/>
      <c r="I53" s="68"/>
    </row>
    <row r="54" spans="2:14" x14ac:dyDescent="0.25">
      <c r="B54" s="62"/>
      <c r="C54" s="69" t="s">
        <v>122</v>
      </c>
      <c r="D54" s="69"/>
      <c r="E54" s="69" t="s">
        <v>116</v>
      </c>
      <c r="F54" s="69"/>
      <c r="G54" s="69"/>
      <c r="H54" s="69"/>
    </row>
    <row r="55" spans="2:14" x14ac:dyDescent="0.25">
      <c r="B55" s="62" t="s">
        <v>68</v>
      </c>
      <c r="C55" s="62">
        <f>SUMPRODUCT(K46:K49,C36:C39)/K51</f>
        <v>122.64728513559356</v>
      </c>
      <c r="E55" s="62">
        <f>SUMPRODUCT(C55:C58,M18:M21)</f>
        <v>7206622.3624421619</v>
      </c>
      <c r="F55" s="62"/>
      <c r="G55" s="62"/>
      <c r="H55" s="62"/>
    </row>
    <row r="56" spans="2:14" x14ac:dyDescent="0.25">
      <c r="B56" s="62" t="s">
        <v>66</v>
      </c>
      <c r="C56" s="62">
        <f>SUMPRODUCT(L46:L49,D36:D39)/L51</f>
        <v>282.85303482623021</v>
      </c>
      <c r="E56" s="62"/>
      <c r="F56" s="62"/>
      <c r="G56" s="62"/>
      <c r="H56" s="62"/>
    </row>
    <row r="57" spans="2:14" x14ac:dyDescent="0.25">
      <c r="B57" s="62" t="s">
        <v>64</v>
      </c>
      <c r="C57" s="62">
        <f>SUMPRODUCT(M46:M49,E36:E39)/M51</f>
        <v>197.45303482623021</v>
      </c>
      <c r="E57" s="62"/>
      <c r="F57" s="62"/>
      <c r="G57" s="62"/>
      <c r="H57" s="62"/>
    </row>
    <row r="58" spans="2:14" x14ac:dyDescent="0.25">
      <c r="B58" s="62" t="s">
        <v>96</v>
      </c>
      <c r="C58" s="62">
        <f>SUMPRODUCT(N46:N49,F36:F39)/N51</f>
        <v>121.56093729233392</v>
      </c>
      <c r="E58" s="62"/>
      <c r="F58" s="62"/>
      <c r="G58" s="62"/>
      <c r="H58" s="62"/>
    </row>
    <row r="63" spans="2:14" x14ac:dyDescent="0.25">
      <c r="B63" s="68" t="s">
        <v>211</v>
      </c>
      <c r="C63" s="68"/>
      <c r="D63" s="68"/>
      <c r="E63" s="68"/>
      <c r="F63" s="68"/>
      <c r="G63" s="68"/>
      <c r="H63" s="68"/>
      <c r="I63" s="68"/>
    </row>
    <row r="64" spans="2:14" x14ac:dyDescent="0.25">
      <c r="B64" s="69" t="s">
        <v>212</v>
      </c>
      <c r="C64" s="69"/>
      <c r="G64" s="69"/>
      <c r="H64" s="69"/>
    </row>
    <row r="65" spans="1:16" x14ac:dyDescent="0.25">
      <c r="B65" s="69" t="s">
        <v>8</v>
      </c>
      <c r="C65" s="62" t="s">
        <v>68</v>
      </c>
      <c r="D65" s="62" t="s">
        <v>66</v>
      </c>
      <c r="E65" s="62" t="s">
        <v>64</v>
      </c>
      <c r="F65" s="62" t="s">
        <v>96</v>
      </c>
      <c r="G65" s="62"/>
      <c r="H65" s="62"/>
    </row>
    <row r="66" spans="1:16" x14ac:dyDescent="0.25">
      <c r="B66" s="62"/>
      <c r="C66" s="62">
        <f>$E$29/($M$23-$M$21)</f>
        <v>2.9086790294803257E-3</v>
      </c>
      <c r="D66" s="217">
        <f t="shared" ref="D66:F66" si="4">$E$29/($M$23-$M$21)</f>
        <v>2.9086790294803257E-3</v>
      </c>
      <c r="E66" s="217">
        <f t="shared" si="4"/>
        <v>2.9086790294803257E-3</v>
      </c>
      <c r="F66" s="217">
        <f t="shared" si="4"/>
        <v>2.9086790294803257E-3</v>
      </c>
      <c r="G66" s="62"/>
      <c r="H66" s="62"/>
    </row>
    <row r="67" spans="1:16" x14ac:dyDescent="0.25">
      <c r="B67" s="62"/>
      <c r="C67" s="62"/>
      <c r="D67" s="218"/>
      <c r="E67" s="217"/>
      <c r="F67" s="217"/>
      <c r="G67" s="62"/>
      <c r="H67" s="62"/>
    </row>
    <row r="68" spans="1:16" x14ac:dyDescent="0.25">
      <c r="B68" s="69" t="s">
        <v>213</v>
      </c>
      <c r="C68" s="62"/>
      <c r="D68" s="218"/>
      <c r="E68" s="217"/>
      <c r="F68" s="217"/>
      <c r="G68" s="62"/>
      <c r="H68" s="62"/>
    </row>
    <row r="69" spans="1:16" x14ac:dyDescent="0.25">
      <c r="B69" s="62" t="s">
        <v>70</v>
      </c>
      <c r="C69" s="62">
        <f>$E$28/($E$23-$E$21)</f>
        <v>0</v>
      </c>
    </row>
    <row r="70" spans="1:16" x14ac:dyDescent="0.25">
      <c r="B70" s="62" t="s">
        <v>73</v>
      </c>
      <c r="C70" s="62">
        <f t="shared" ref="C70:C72" si="5">$E$28/($E$23-$E$21)</f>
        <v>0</v>
      </c>
      <c r="D70" s="68"/>
      <c r="E70" s="68"/>
      <c r="F70" s="68"/>
      <c r="G70" s="68"/>
      <c r="L70" s="68"/>
      <c r="N70" s="68"/>
      <c r="O70" s="68"/>
    </row>
    <row r="71" spans="1:16" x14ac:dyDescent="0.25">
      <c r="B71" s="62" t="s">
        <v>68</v>
      </c>
      <c r="C71" s="62">
        <f t="shared" si="5"/>
        <v>0</v>
      </c>
    </row>
    <row r="72" spans="1:16" x14ac:dyDescent="0.25">
      <c r="B72" s="62" t="s">
        <v>96</v>
      </c>
      <c r="C72" s="62">
        <f t="shared" si="5"/>
        <v>0</v>
      </c>
      <c r="D72" s="69"/>
      <c r="E72" s="69"/>
      <c r="F72" s="69"/>
      <c r="L72" s="69"/>
      <c r="N72" s="69"/>
      <c r="O72" s="69"/>
    </row>
    <row r="73" spans="1:16" x14ac:dyDescent="0.25">
      <c r="B73" s="62"/>
      <c r="C73" s="62"/>
      <c r="D73" s="62"/>
      <c r="E73" s="62"/>
      <c r="F73" s="62"/>
      <c r="G73" s="62"/>
      <c r="L73" s="62"/>
      <c r="M73" s="62"/>
      <c r="N73" s="62"/>
      <c r="O73" s="62"/>
      <c r="P73" s="62"/>
    </row>
    <row r="74" spans="1:16" x14ac:dyDescent="0.25">
      <c r="B74" s="62"/>
      <c r="C74" s="62"/>
      <c r="D74" s="62"/>
      <c r="E74" s="62"/>
      <c r="F74" s="62"/>
      <c r="G74" s="62"/>
      <c r="J74" s="62"/>
      <c r="K74" s="62"/>
      <c r="L74" s="62"/>
      <c r="M74" s="62"/>
      <c r="N74" s="62"/>
      <c r="O74" s="62"/>
      <c r="P74" s="62"/>
    </row>
    <row r="75" spans="1:16" ht="18.75" x14ac:dyDescent="0.3">
      <c r="A75" s="58" t="s">
        <v>214</v>
      </c>
      <c r="B75" s="62"/>
      <c r="C75" s="62"/>
      <c r="D75" s="62"/>
      <c r="E75" s="62"/>
      <c r="F75" s="62"/>
      <c r="G75" s="62"/>
      <c r="J75" s="62"/>
      <c r="K75" s="62"/>
      <c r="L75" s="62"/>
      <c r="M75" s="62"/>
      <c r="N75" s="62"/>
      <c r="O75" s="62"/>
      <c r="P75" s="62"/>
    </row>
    <row r="76" spans="1:16" x14ac:dyDescent="0.25">
      <c r="B76" s="62"/>
      <c r="C76" s="62"/>
      <c r="D76" s="62"/>
      <c r="E76" s="62"/>
      <c r="F76" s="62"/>
      <c r="G76" s="62"/>
      <c r="J76" s="62"/>
      <c r="K76" s="62"/>
      <c r="L76" s="62"/>
      <c r="M76" s="62"/>
      <c r="N76" s="62"/>
      <c r="O76" s="62"/>
      <c r="P76" s="62"/>
    </row>
    <row r="77" spans="1:16" x14ac:dyDescent="0.25">
      <c r="B77" s="68" t="s">
        <v>215</v>
      </c>
      <c r="J77" s="68" t="s">
        <v>153</v>
      </c>
      <c r="N77" s="62"/>
      <c r="O77" s="62"/>
      <c r="P77" s="62"/>
    </row>
    <row r="78" spans="1:16" x14ac:dyDescent="0.25">
      <c r="B78" s="69" t="s">
        <v>154</v>
      </c>
      <c r="C78" s="69" t="s">
        <v>155</v>
      </c>
      <c r="D78" s="69" t="s">
        <v>156</v>
      </c>
      <c r="E78" s="69" t="s">
        <v>156</v>
      </c>
      <c r="F78" s="69" t="s">
        <v>155</v>
      </c>
      <c r="G78" s="74"/>
      <c r="J78" s="75" t="s">
        <v>157</v>
      </c>
      <c r="K78" s="75"/>
      <c r="L78" s="75"/>
      <c r="O78" s="73"/>
    </row>
    <row r="79" spans="1:16" x14ac:dyDescent="0.25">
      <c r="B79" s="62"/>
      <c r="C79" s="62" t="s">
        <v>64</v>
      </c>
      <c r="D79" s="62" t="s">
        <v>68</v>
      </c>
      <c r="E79" s="62" t="s">
        <v>66</v>
      </c>
      <c r="F79" s="62" t="s">
        <v>96</v>
      </c>
      <c r="G79" s="74"/>
      <c r="J79" s="74"/>
      <c r="K79" s="69" t="s">
        <v>158</v>
      </c>
      <c r="L79" s="69" t="s">
        <v>159</v>
      </c>
    </row>
    <row r="80" spans="1:16" x14ac:dyDescent="0.25">
      <c r="B80" s="69" t="s">
        <v>216</v>
      </c>
      <c r="C80" s="62">
        <f>M20</f>
        <v>32801.983742960401</v>
      </c>
      <c r="D80" s="62">
        <f>M18</f>
        <v>1</v>
      </c>
      <c r="E80" s="62">
        <f>M19</f>
        <v>1</v>
      </c>
      <c r="F80" s="62">
        <f>M21</f>
        <v>6000</v>
      </c>
      <c r="G80" s="74"/>
      <c r="J80" s="76" t="s">
        <v>70</v>
      </c>
      <c r="K80" s="62">
        <f>(K38*E36+K39*F36)/SUM(K38,K39)</f>
        <v>175.74299696467546</v>
      </c>
      <c r="L80" s="62">
        <f>(K36*C36+K37*D36)/SUM(K36,K37)</f>
        <v>212.6</v>
      </c>
    </row>
    <row r="81" spans="2:16" x14ac:dyDescent="0.25">
      <c r="B81" s="69" t="s">
        <v>161</v>
      </c>
      <c r="C81" s="62">
        <f>C80*C57</f>
        <v>6476851.2383681973</v>
      </c>
      <c r="D81" s="62">
        <f>D80*C55</f>
        <v>122.64728513559356</v>
      </c>
      <c r="E81" s="62">
        <f>E80*C56</f>
        <v>282.85303482623021</v>
      </c>
      <c r="F81" s="62">
        <f>F80*C58</f>
        <v>729365.62375400355</v>
      </c>
      <c r="G81" s="74"/>
      <c r="J81" s="76" t="s">
        <v>73</v>
      </c>
      <c r="K81" s="62">
        <f>(L38*E37+L39*F37)/SUM(L38,L39)</f>
        <v>118.94299696467546</v>
      </c>
      <c r="L81" s="62">
        <f>(L37*C37+L38*D37)/SUM(L37,L38)</f>
        <v>218.59617108001561</v>
      </c>
      <c r="N81" s="68"/>
      <c r="O81" s="68"/>
    </row>
    <row r="82" spans="2:16" x14ac:dyDescent="0.25">
      <c r="J82" s="76" t="s">
        <v>68</v>
      </c>
      <c r="K82" s="62">
        <f>(M38*E38+M39*F38)/SUM(M38,M39)</f>
        <v>211.94299696467544</v>
      </c>
      <c r="L82" s="62">
        <f>(M38*C38+M39*D38)/SUM(M38,M39)</f>
        <v>48.183103533699857</v>
      </c>
    </row>
    <row r="83" spans="2:16" x14ac:dyDescent="0.25">
      <c r="C83" s="62" t="s">
        <v>162</v>
      </c>
      <c r="J83" s="76" t="s">
        <v>96</v>
      </c>
      <c r="K83" s="62">
        <f>(N38*E39+N39*F39)/SUM(N38,N39)</f>
        <v>92.2</v>
      </c>
      <c r="L83" s="62">
        <f>(N36*C39+N37*D39)/SUM(N36,N37)</f>
        <v>155.79999999999998</v>
      </c>
      <c r="N83" s="69"/>
      <c r="O83" s="69"/>
    </row>
    <row r="84" spans="2:16" x14ac:dyDescent="0.25">
      <c r="B84" s="68" t="s">
        <v>163</v>
      </c>
      <c r="J84" s="68" t="s">
        <v>164</v>
      </c>
      <c r="K84" s="62"/>
      <c r="L84" s="62"/>
      <c r="N84" s="62"/>
      <c r="O84" s="62"/>
      <c r="P84" s="62"/>
    </row>
    <row r="85" spans="2:16" ht="34.5" x14ac:dyDescent="0.25">
      <c r="C85" s="76" t="s">
        <v>165</v>
      </c>
      <c r="D85" s="76" t="s">
        <v>166</v>
      </c>
      <c r="E85" s="76" t="s">
        <v>167</v>
      </c>
      <c r="F85" s="76" t="s">
        <v>168</v>
      </c>
      <c r="G85" s="76" t="s">
        <v>169</v>
      </c>
      <c r="J85" s="76" t="s">
        <v>170</v>
      </c>
      <c r="K85" s="62">
        <f>SUMPRODUCT(C86:C89,C69:C72)</f>
        <v>0</v>
      </c>
      <c r="L85" s="62"/>
      <c r="N85" s="62"/>
      <c r="O85" s="62"/>
      <c r="P85" s="62"/>
    </row>
    <row r="86" spans="2:16" ht="23.25" x14ac:dyDescent="0.25">
      <c r="B86" s="76" t="s">
        <v>70</v>
      </c>
      <c r="C86" s="62">
        <f>SUM($D$80:$E$80)/SUM($E$18:$E$21)*E18</f>
        <v>9.8748623318500345E-2</v>
      </c>
      <c r="D86" s="136" t="s">
        <v>171</v>
      </c>
      <c r="E86" s="62">
        <f>E18-C86</f>
        <v>2208.1512513766816</v>
      </c>
      <c r="F86" s="62">
        <f>C86*L80</f>
        <v>20.993957317513171</v>
      </c>
      <c r="G86" s="62">
        <f>E86*K80</f>
        <v>388067.11866823648</v>
      </c>
      <c r="J86" s="76" t="s">
        <v>172</v>
      </c>
      <c r="K86" s="62">
        <f>E28-K85</f>
        <v>0</v>
      </c>
      <c r="L86" s="62"/>
      <c r="N86" s="62"/>
      <c r="O86" s="62"/>
      <c r="P86" s="62"/>
    </row>
    <row r="87" spans="2:16" ht="23.25" x14ac:dyDescent="0.25">
      <c r="B87" s="76" t="s">
        <v>73</v>
      </c>
      <c r="C87" s="62">
        <f>SUM($D$80:$E$80)/SUM($E$18:$E$21)*E19</f>
        <v>0.19318195527495594</v>
      </c>
      <c r="D87" s="136" t="s">
        <v>171</v>
      </c>
      <c r="E87" s="62">
        <f t="shared" ref="E87" si="6">E19-C87</f>
        <v>4319.8068180447253</v>
      </c>
      <c r="F87" s="62">
        <f>C87*L81</f>
        <v>42.228835744856191</v>
      </c>
      <c r="G87" s="62">
        <f>E87*K81</f>
        <v>513810.7692466781</v>
      </c>
      <c r="J87" s="76" t="s">
        <v>173</v>
      </c>
      <c r="K87" s="62">
        <f>D80*C66+E80*D66</f>
        <v>5.8173580589606514E-3</v>
      </c>
      <c r="L87" s="62"/>
      <c r="N87" s="62"/>
      <c r="O87" s="62"/>
      <c r="P87" s="62"/>
    </row>
    <row r="88" spans="2:16" ht="23.25" x14ac:dyDescent="0.25">
      <c r="B88" s="76" t="s">
        <v>68</v>
      </c>
      <c r="C88" s="62">
        <f>SUM($D$80:$E$80)/SUM($E$18:$E$21)*E20</f>
        <v>1.4397611501913272</v>
      </c>
      <c r="D88" s="136" t="s">
        <v>171</v>
      </c>
      <c r="E88" s="62">
        <f>E20-C88</f>
        <v>32194.984381953316</v>
      </c>
      <c r="F88" s="62">
        <f>C88*L82</f>
        <v>69.372160563467503</v>
      </c>
      <c r="G88" s="62">
        <f>E88*K82</f>
        <v>6823501.4771421049</v>
      </c>
      <c r="J88" s="76" t="s">
        <v>174</v>
      </c>
      <c r="K88" s="62">
        <f>E29-K87</f>
        <v>95.410442238503478</v>
      </c>
      <c r="L88" s="62"/>
      <c r="N88" s="62"/>
      <c r="O88" s="62"/>
      <c r="P88" s="62"/>
    </row>
    <row r="89" spans="2:16" x14ac:dyDescent="0.25">
      <c r="B89" s="76" t="s">
        <v>96</v>
      </c>
      <c r="C89" s="62">
        <f>SUM($D$80:$E$80)/SUM($E$18:$E$21)*E21</f>
        <v>0.26830827121521661</v>
      </c>
      <c r="D89" s="136" t="s">
        <v>171</v>
      </c>
      <c r="E89" s="62">
        <f>E21-C89</f>
        <v>5999.7316917287844</v>
      </c>
      <c r="F89" s="62">
        <f>C89*L83</f>
        <v>41.802428655330743</v>
      </c>
      <c r="G89" s="62">
        <f>E89*K83</f>
        <v>553175.261977394</v>
      </c>
      <c r="H89" s="69"/>
      <c r="J89" s="76" t="s">
        <v>175</v>
      </c>
      <c r="K89" s="62">
        <f>K86+K88</f>
        <v>95.410442238503478</v>
      </c>
      <c r="L89" s="62"/>
      <c r="O89" s="73"/>
    </row>
    <row r="90" spans="2:16" x14ac:dyDescent="0.25">
      <c r="B90" s="76"/>
      <c r="C90" s="62"/>
      <c r="D90" s="136"/>
      <c r="E90" s="62"/>
      <c r="F90" s="62"/>
      <c r="G90" s="62"/>
      <c r="J90" s="76" t="s">
        <v>176</v>
      </c>
      <c r="K90" s="62">
        <f>K85+K87</f>
        <v>5.8173580589606514E-3</v>
      </c>
      <c r="L90" s="62"/>
    </row>
    <row r="91" spans="2:16" x14ac:dyDescent="0.25">
      <c r="B91" s="76" t="s">
        <v>177</v>
      </c>
      <c r="C91" s="62">
        <f>SUM(C86:C89)</f>
        <v>2</v>
      </c>
      <c r="D91" s="62"/>
      <c r="E91" s="62">
        <f>SUM(E86:E89)</f>
        <v>44722.674143103504</v>
      </c>
      <c r="F91" s="62">
        <f>SUM(F86:F89)</f>
        <v>174.39738228116761</v>
      </c>
      <c r="G91" s="62">
        <f>SUM(G86:G89)</f>
        <v>8278554.6270344136</v>
      </c>
    </row>
    <row r="92" spans="2:16" x14ac:dyDescent="0.25">
      <c r="B92" s="76"/>
      <c r="C92" s="62"/>
      <c r="D92" s="62"/>
      <c r="E92" s="62"/>
      <c r="F92" s="62"/>
      <c r="G92" s="62"/>
    </row>
    <row r="93" spans="2:16" x14ac:dyDescent="0.25">
      <c r="B93" s="76" t="s">
        <v>178</v>
      </c>
      <c r="C93" s="62">
        <f>SUM(D80:E80)</f>
        <v>2</v>
      </c>
      <c r="D93" s="62"/>
      <c r="E93" s="62"/>
      <c r="F93" s="62"/>
      <c r="G93" s="62"/>
    </row>
    <row r="94" spans="2:16" x14ac:dyDescent="0.25">
      <c r="B94" s="76"/>
      <c r="E94" s="62"/>
    </row>
    <row r="95" spans="2:16" x14ac:dyDescent="0.25">
      <c r="B95" s="76"/>
    </row>
    <row r="96" spans="2:16" x14ac:dyDescent="0.25">
      <c r="B96" s="68" t="s">
        <v>179</v>
      </c>
      <c r="J96" s="68" t="s">
        <v>180</v>
      </c>
    </row>
    <row r="97" spans="2:12" ht="23.25" x14ac:dyDescent="0.25">
      <c r="B97" s="76" t="s">
        <v>169</v>
      </c>
      <c r="C97" s="78"/>
      <c r="D97" s="62">
        <f>G91</f>
        <v>8278554.6270344136</v>
      </c>
      <c r="E97" s="62"/>
      <c r="J97" s="79" t="s">
        <v>181</v>
      </c>
      <c r="K97" s="80"/>
      <c r="L97" s="81"/>
    </row>
    <row r="98" spans="2:12" ht="23.25" x14ac:dyDescent="0.25">
      <c r="B98" s="76" t="s">
        <v>182</v>
      </c>
      <c r="C98" s="78"/>
      <c r="D98" s="62">
        <f>C81+F81</f>
        <v>7206216.8621222004</v>
      </c>
      <c r="E98" s="62"/>
      <c r="J98" s="82" t="s">
        <v>183</v>
      </c>
      <c r="K98" s="83">
        <f>K89*10^6/D99</f>
        <v>6.1615660460547126</v>
      </c>
      <c r="L98" s="84" t="s">
        <v>184</v>
      </c>
    </row>
    <row r="99" spans="2:12" ht="23.25" x14ac:dyDescent="0.25">
      <c r="B99" s="76" t="s">
        <v>185</v>
      </c>
      <c r="C99" s="78"/>
      <c r="D99" s="62">
        <f>SUM(D97:D98)</f>
        <v>15484771.489156615</v>
      </c>
      <c r="E99" s="62"/>
      <c r="J99" s="82" t="s">
        <v>186</v>
      </c>
      <c r="K99" s="83">
        <f>K90*10^6/D102</f>
        <v>10.031697032872595</v>
      </c>
      <c r="L99" s="84" t="s">
        <v>187</v>
      </c>
    </row>
    <row r="100" spans="2:12" ht="23.25" x14ac:dyDescent="0.25">
      <c r="B100" s="76" t="s">
        <v>188</v>
      </c>
      <c r="C100" s="78"/>
      <c r="D100" s="62">
        <f>F91</f>
        <v>174.39738228116761</v>
      </c>
      <c r="E100" s="62"/>
      <c r="J100" s="82" t="s">
        <v>189</v>
      </c>
      <c r="K100" s="85">
        <f>2*(ABS(K98-K99))/(K98+K99)</f>
        <v>0.47799272672277876</v>
      </c>
      <c r="L100" s="84" t="s">
        <v>190</v>
      </c>
    </row>
    <row r="101" spans="2:12" ht="23.25" x14ac:dyDescent="0.25">
      <c r="B101" s="76" t="s">
        <v>191</v>
      </c>
      <c r="C101" s="78"/>
      <c r="D101" s="62">
        <f>SUM(D81:E81)</f>
        <v>405.50031996182378</v>
      </c>
      <c r="E101" s="62"/>
    </row>
    <row r="102" spans="2:12" ht="23.25" x14ac:dyDescent="0.25">
      <c r="B102" s="76" t="s">
        <v>192</v>
      </c>
      <c r="C102" s="78"/>
      <c r="D102" s="62">
        <f>SUM(D100:D101)</f>
        <v>579.89770224299139</v>
      </c>
      <c r="E102" s="62"/>
    </row>
  </sheetData>
  <conditionalFormatting sqref="K100">
    <cfRule type="cellIs" dxfId="37" priority="1" operator="lessThan">
      <formula>0.1</formula>
    </cfRule>
    <cfRule type="cellIs" dxfId="36" priority="2" operator="greaterThan">
      <formula>0.1</formula>
    </cfRule>
  </conditionalFormatting>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AC115"/>
  <sheetViews>
    <sheetView showGridLines="0" workbookViewId="0">
      <selection activeCell="A25" sqref="A25"/>
    </sheetView>
  </sheetViews>
  <sheetFormatPr defaultColWidth="9.140625" defaultRowHeight="15" x14ac:dyDescent="0.25"/>
  <cols>
    <col min="1" max="1" width="9.140625" style="53"/>
    <col min="2" max="2" width="21" style="53" customWidth="1"/>
    <col min="3" max="3" width="19.5703125" style="53" customWidth="1"/>
    <col min="4" max="4" width="15.5703125" style="53" customWidth="1"/>
    <col min="5" max="5" width="12.5703125" style="53" customWidth="1"/>
    <col min="6" max="6" width="13.140625" style="53" customWidth="1"/>
    <col min="7" max="8" width="10" style="53" bestFit="1" customWidth="1"/>
    <col min="9" max="9" width="21.5703125" style="53" customWidth="1"/>
    <col min="10" max="10" width="19" style="53" customWidth="1"/>
    <col min="11" max="11" width="12.140625" style="53" bestFit="1" customWidth="1"/>
    <col min="12" max="12" width="21.42578125" style="53" customWidth="1"/>
    <col min="13" max="13" width="17.140625" style="53" customWidth="1"/>
    <col min="14" max="14" width="12.140625" style="53" bestFit="1" customWidth="1"/>
    <col min="15" max="15" width="9.5703125" style="53" bestFit="1" customWidth="1"/>
    <col min="16" max="16" width="22.42578125" style="53" customWidth="1"/>
    <col min="17" max="17" width="10.5703125" style="53" customWidth="1"/>
    <col min="18" max="18" width="9.140625" style="53"/>
    <col min="19" max="19" width="11" style="53" bestFit="1" customWidth="1"/>
    <col min="20" max="16384" width="9.140625" style="53"/>
  </cols>
  <sheetData>
    <row r="1" spans="1:21" x14ac:dyDescent="0.25">
      <c r="A1" s="53" t="s">
        <v>86</v>
      </c>
      <c r="F1" s="60"/>
      <c r="G1" s="60"/>
      <c r="H1" s="60"/>
      <c r="I1" s="60"/>
      <c r="J1" s="60"/>
      <c r="K1" s="60"/>
      <c r="L1" s="60"/>
      <c r="M1" s="60"/>
      <c r="N1" s="60"/>
      <c r="O1" s="60"/>
    </row>
    <row r="2" spans="1:21" ht="15.75" x14ac:dyDescent="0.25">
      <c r="A2" s="54" t="s">
        <v>87</v>
      </c>
      <c r="F2" s="60"/>
      <c r="G2" s="60"/>
      <c r="H2" s="60"/>
      <c r="I2" s="60"/>
      <c r="J2" s="60"/>
      <c r="K2" s="60"/>
      <c r="L2" s="60"/>
      <c r="M2" s="60"/>
      <c r="N2" s="60"/>
      <c r="O2" s="60"/>
    </row>
    <row r="3" spans="1:21" x14ac:dyDescent="0.25">
      <c r="A3" s="55" t="s">
        <v>88</v>
      </c>
      <c r="F3" s="60"/>
      <c r="G3" s="60"/>
      <c r="H3" s="60"/>
      <c r="I3" s="60"/>
      <c r="J3" s="60"/>
      <c r="K3" s="60"/>
      <c r="L3" s="60"/>
      <c r="M3" s="60"/>
      <c r="N3" s="60"/>
      <c r="O3" s="60"/>
    </row>
    <row r="4" spans="1:21" x14ac:dyDescent="0.25">
      <c r="B4" s="56"/>
      <c r="C4" s="56"/>
      <c r="D4" s="56"/>
      <c r="E4" s="56"/>
      <c r="F4" s="86"/>
      <c r="G4" s="60"/>
      <c r="H4" s="60"/>
      <c r="I4" s="60"/>
      <c r="J4" s="60"/>
      <c r="K4" s="60"/>
      <c r="L4" s="60"/>
      <c r="M4" s="60"/>
      <c r="N4" s="60"/>
      <c r="O4" s="60"/>
    </row>
    <row r="5" spans="1:21" x14ac:dyDescent="0.25">
      <c r="A5" s="57" t="s">
        <v>89</v>
      </c>
      <c r="B5" s="55"/>
      <c r="C5" s="55"/>
      <c r="D5" s="55"/>
      <c r="E5" s="55"/>
      <c r="F5" s="87"/>
      <c r="G5" s="87"/>
      <c r="H5" s="87"/>
      <c r="I5" s="60"/>
      <c r="J5" s="60"/>
      <c r="K5" s="60"/>
      <c r="L5" s="60"/>
      <c r="M5" s="60"/>
      <c r="N5" s="60"/>
      <c r="O5" s="60"/>
    </row>
    <row r="6" spans="1:21" x14ac:dyDescent="0.25">
      <c r="F6" s="60"/>
      <c r="G6" s="60"/>
      <c r="H6" s="60"/>
      <c r="I6" s="60"/>
      <c r="J6" s="60"/>
      <c r="K6" s="60"/>
      <c r="L6" s="60"/>
      <c r="M6" s="60"/>
      <c r="N6" s="60"/>
      <c r="O6" s="60"/>
    </row>
    <row r="7" spans="1:21" x14ac:dyDescent="0.25">
      <c r="F7" s="60"/>
      <c r="G7" s="60"/>
      <c r="H7" s="60"/>
      <c r="I7" s="60"/>
      <c r="J7" s="60"/>
      <c r="K7" s="60"/>
      <c r="L7" s="60"/>
      <c r="M7" s="60"/>
      <c r="N7" s="60"/>
      <c r="O7" s="60"/>
    </row>
    <row r="8" spans="1:21" x14ac:dyDescent="0.25">
      <c r="F8" s="60"/>
      <c r="G8" s="60"/>
      <c r="H8" s="60"/>
      <c r="I8" s="60"/>
      <c r="J8" s="60"/>
      <c r="K8" s="60"/>
      <c r="L8" s="60"/>
      <c r="M8" s="60"/>
      <c r="N8" s="60"/>
      <c r="O8" s="60"/>
    </row>
    <row r="9" spans="1:21" x14ac:dyDescent="0.25">
      <c r="F9" s="60"/>
      <c r="G9" s="60"/>
      <c r="H9" s="60"/>
      <c r="I9" s="60"/>
      <c r="J9" s="60"/>
      <c r="K9" s="60"/>
      <c r="L9" s="60"/>
      <c r="M9" s="60"/>
      <c r="N9" s="60"/>
      <c r="O9" s="60"/>
    </row>
    <row r="10" spans="1:21" x14ac:dyDescent="0.25">
      <c r="F10" s="60"/>
      <c r="G10" s="60"/>
      <c r="H10" s="60"/>
      <c r="I10" s="60"/>
      <c r="J10" s="60"/>
      <c r="K10" s="60"/>
      <c r="L10" s="60"/>
      <c r="M10" s="60"/>
      <c r="N10" s="60"/>
      <c r="O10" s="60"/>
    </row>
    <row r="12" spans="1:21" x14ac:dyDescent="0.25">
      <c r="A12" s="88"/>
      <c r="B12" s="88"/>
      <c r="C12" s="88"/>
      <c r="D12" s="88"/>
      <c r="E12" s="88"/>
      <c r="F12" s="88"/>
      <c r="G12" s="88"/>
      <c r="H12" s="88"/>
      <c r="I12" s="88"/>
      <c r="J12" s="88"/>
      <c r="K12" s="88"/>
      <c r="L12" s="88"/>
      <c r="M12" s="88"/>
      <c r="N12" s="88"/>
      <c r="O12" s="88"/>
      <c r="P12" s="88"/>
      <c r="Q12" s="88"/>
      <c r="R12" s="88"/>
      <c r="S12" s="88"/>
      <c r="T12" s="88"/>
      <c r="U12" s="88"/>
    </row>
    <row r="13" spans="1:21" x14ac:dyDescent="0.25">
      <c r="A13" s="88"/>
      <c r="B13" s="88"/>
      <c r="C13" s="88"/>
      <c r="D13" s="88"/>
      <c r="E13" s="88"/>
      <c r="F13" s="88"/>
      <c r="G13" s="88"/>
      <c r="H13" s="88"/>
      <c r="I13" s="88"/>
      <c r="J13" s="88"/>
      <c r="K13" s="88"/>
      <c r="L13" s="88"/>
      <c r="M13" s="88"/>
      <c r="N13" s="88"/>
      <c r="O13" s="88"/>
      <c r="P13" s="88"/>
      <c r="Q13" s="88"/>
      <c r="R13" s="88"/>
      <c r="S13" s="88"/>
      <c r="T13" s="88"/>
      <c r="U13" s="88"/>
    </row>
    <row r="14" spans="1:21" ht="18.75" x14ac:dyDescent="0.3">
      <c r="A14" s="89" t="s">
        <v>90</v>
      </c>
      <c r="B14" s="90"/>
      <c r="C14" s="90"/>
      <c r="D14" s="90"/>
      <c r="E14" s="90"/>
      <c r="F14" s="90"/>
      <c r="G14" s="90"/>
      <c r="H14" s="90"/>
      <c r="I14" s="90"/>
      <c r="J14" s="90"/>
      <c r="K14" s="90"/>
      <c r="L14" s="90"/>
      <c r="M14" s="90"/>
      <c r="N14" s="90"/>
      <c r="O14" s="90"/>
      <c r="P14" s="88"/>
      <c r="Q14" s="88"/>
      <c r="R14" s="88"/>
      <c r="S14" s="88"/>
      <c r="T14" s="88"/>
      <c r="U14" s="88"/>
    </row>
    <row r="15" spans="1:21" x14ac:dyDescent="0.25">
      <c r="A15" s="90"/>
      <c r="B15" s="90"/>
      <c r="C15" s="90"/>
      <c r="D15" s="90"/>
      <c r="E15" s="90"/>
      <c r="F15" s="90"/>
      <c r="G15" s="90"/>
      <c r="H15" s="90"/>
      <c r="I15" s="90"/>
      <c r="J15" s="90"/>
      <c r="K15" s="90"/>
      <c r="L15" s="90"/>
      <c r="M15" s="90"/>
      <c r="N15" s="90"/>
      <c r="O15" s="90"/>
      <c r="P15" s="88"/>
      <c r="Q15" s="88"/>
      <c r="R15" s="88"/>
      <c r="S15" s="88"/>
      <c r="T15" s="88"/>
      <c r="U15" s="88"/>
    </row>
    <row r="16" spans="1:21" x14ac:dyDescent="0.25">
      <c r="A16" s="90"/>
      <c r="B16" s="94" t="s">
        <v>91</v>
      </c>
      <c r="C16" s="90"/>
      <c r="D16" s="90"/>
      <c r="E16" s="90"/>
      <c r="F16" s="90"/>
      <c r="G16" s="90"/>
      <c r="H16" s="90"/>
      <c r="I16" s="90"/>
      <c r="J16" s="90"/>
      <c r="K16" s="90"/>
      <c r="L16" s="90"/>
      <c r="M16" s="90"/>
      <c r="N16" s="90"/>
      <c r="O16" s="90"/>
      <c r="P16" s="88"/>
      <c r="Q16" s="88"/>
      <c r="R16" s="88"/>
      <c r="S16" s="88"/>
      <c r="T16" s="88"/>
      <c r="U16" s="88"/>
    </row>
    <row r="17" spans="1:29" x14ac:dyDescent="0.25">
      <c r="A17" s="90"/>
      <c r="B17" s="94" t="s">
        <v>26</v>
      </c>
      <c r="C17" s="95" t="s">
        <v>92</v>
      </c>
      <c r="D17" s="95" t="s">
        <v>93</v>
      </c>
      <c r="E17" s="95" t="s">
        <v>94</v>
      </c>
      <c r="F17" s="95"/>
      <c r="G17" s="90"/>
      <c r="H17" s="90"/>
      <c r="I17" s="90"/>
      <c r="J17" s="94" t="s">
        <v>8</v>
      </c>
      <c r="K17" s="95" t="s">
        <v>92</v>
      </c>
      <c r="L17" s="95" t="s">
        <v>93</v>
      </c>
      <c r="M17" s="95" t="s">
        <v>94</v>
      </c>
      <c r="N17" s="95"/>
      <c r="O17" s="90"/>
      <c r="P17" s="88"/>
      <c r="Q17" s="88"/>
      <c r="R17" s="107"/>
      <c r="S17" s="88"/>
      <c r="T17" s="107"/>
      <c r="U17" s="88"/>
    </row>
    <row r="18" spans="1:29" x14ac:dyDescent="0.25">
      <c r="A18" s="91" t="s">
        <v>95</v>
      </c>
      <c r="B18" s="95" t="s">
        <v>70</v>
      </c>
      <c r="C18" s="95">
        <v>0</v>
      </c>
      <c r="D18" s="95">
        <v>93</v>
      </c>
      <c r="E18" s="95">
        <f>'Forecasted Capacities'!C16*10^(-3)</f>
        <v>210</v>
      </c>
      <c r="F18" s="95"/>
      <c r="G18" s="90"/>
      <c r="H18" s="90"/>
      <c r="I18" s="90"/>
      <c r="J18" s="95" t="s">
        <v>68</v>
      </c>
      <c r="K18" s="95">
        <v>56.8</v>
      </c>
      <c r="L18" s="95">
        <v>0</v>
      </c>
      <c r="M18" s="95">
        <f>'Forecasted Capacities'!C13*10^(-3)</f>
        <v>1E-3</v>
      </c>
      <c r="N18" s="91" t="s">
        <v>200</v>
      </c>
      <c r="O18" s="90"/>
      <c r="P18" s="88"/>
      <c r="Q18" s="88"/>
      <c r="R18" s="107"/>
      <c r="S18" s="88"/>
      <c r="T18" s="107"/>
      <c r="U18" s="88"/>
      <c r="Z18" s="62"/>
      <c r="AA18" s="62"/>
      <c r="AB18" s="62"/>
      <c r="AC18" s="62"/>
    </row>
    <row r="19" spans="1:29" x14ac:dyDescent="0.25">
      <c r="A19" s="90"/>
      <c r="B19" s="95" t="s">
        <v>73</v>
      </c>
      <c r="C19" s="95">
        <v>56.8</v>
      </c>
      <c r="D19" s="95">
        <v>93</v>
      </c>
      <c r="E19" s="95">
        <f>'Forecasted Capacities'!C18*10^(-3)</f>
        <v>645</v>
      </c>
      <c r="F19" s="95"/>
      <c r="G19" s="90"/>
      <c r="H19" s="90"/>
      <c r="I19" s="90"/>
      <c r="J19" s="95" t="s">
        <v>66</v>
      </c>
      <c r="K19" s="95">
        <v>275.39999999999998</v>
      </c>
      <c r="L19" s="95">
        <v>93</v>
      </c>
      <c r="M19" s="95">
        <f>'Forecasted Capacities'!C12*10^(-3)</f>
        <v>1E-3</v>
      </c>
      <c r="N19" s="95"/>
      <c r="O19" s="90"/>
      <c r="P19" s="88"/>
      <c r="Q19" s="88"/>
      <c r="R19" s="107"/>
      <c r="S19" s="88"/>
      <c r="T19" s="107"/>
      <c r="U19" s="88"/>
      <c r="Z19" s="63"/>
      <c r="AA19" s="63"/>
      <c r="AB19" s="63"/>
      <c r="AC19" s="63"/>
    </row>
    <row r="20" spans="1:29" x14ac:dyDescent="0.25">
      <c r="A20" s="90"/>
      <c r="B20" s="95" t="s">
        <v>68</v>
      </c>
      <c r="C20" s="95">
        <v>56.8</v>
      </c>
      <c r="D20" s="95">
        <v>0</v>
      </c>
      <c r="E20" s="95">
        <f>'Forecasted Capacities'!C17*10^(-3)</f>
        <v>3608.3330000000001</v>
      </c>
      <c r="F20" s="95"/>
      <c r="G20" s="90"/>
      <c r="H20" s="90"/>
      <c r="I20" s="90"/>
      <c r="J20" s="95" t="s">
        <v>64</v>
      </c>
      <c r="K20" s="95">
        <v>190</v>
      </c>
      <c r="L20" s="95">
        <v>93</v>
      </c>
      <c r="M20" s="95">
        <f>'Forecasted Capacities'!C11*10^(-3)</f>
        <v>3733.3330000000001</v>
      </c>
      <c r="N20" s="95"/>
      <c r="O20" s="90"/>
      <c r="P20" s="88"/>
      <c r="Q20" s="88"/>
      <c r="R20" s="107"/>
      <c r="S20" s="88"/>
      <c r="T20" s="107"/>
      <c r="U20" s="88"/>
      <c r="Z20" s="62"/>
      <c r="AA20" s="62"/>
      <c r="AB20" s="62"/>
      <c r="AC20" s="62"/>
    </row>
    <row r="21" spans="1:29" x14ac:dyDescent="0.25">
      <c r="A21" s="90"/>
      <c r="B21" s="95" t="s">
        <v>96</v>
      </c>
      <c r="C21" s="95">
        <v>97.8</v>
      </c>
      <c r="D21" s="95">
        <v>93</v>
      </c>
      <c r="E21" s="95">
        <f>'Forecasted Capacities'!C22*10^(-3)</f>
        <v>7000</v>
      </c>
      <c r="F21" s="95"/>
      <c r="G21" s="90"/>
      <c r="H21" s="90"/>
      <c r="I21" s="90"/>
      <c r="J21" s="95" t="s">
        <v>96</v>
      </c>
      <c r="K21" s="95">
        <v>97.8</v>
      </c>
      <c r="L21" s="95">
        <v>93</v>
      </c>
      <c r="M21" s="95">
        <f>'Forecasted Capacities'!C21*10^(-3)</f>
        <v>4000</v>
      </c>
      <c r="N21" s="95"/>
      <c r="O21" s="90"/>
      <c r="P21" s="88"/>
      <c r="Q21" s="88"/>
      <c r="R21" s="107"/>
      <c r="S21" s="88"/>
      <c r="T21" s="107"/>
      <c r="U21" s="88"/>
      <c r="V21" s="62"/>
      <c r="W21" s="62"/>
      <c r="X21" s="62"/>
      <c r="Y21" s="62"/>
      <c r="Z21" s="62"/>
      <c r="AA21" s="62"/>
      <c r="AB21" s="62"/>
      <c r="AC21" s="62"/>
    </row>
    <row r="22" spans="1:29" x14ac:dyDescent="0.25">
      <c r="A22" s="90"/>
      <c r="B22" s="90"/>
      <c r="C22" s="90"/>
      <c r="D22" s="90"/>
      <c r="E22" s="112">
        <f>SUM(E18:E21)</f>
        <v>11463.333000000001</v>
      </c>
      <c r="F22" s="90"/>
      <c r="G22" s="90"/>
      <c r="H22" s="90"/>
      <c r="I22" s="90"/>
      <c r="J22" s="90"/>
      <c r="K22" s="90"/>
      <c r="L22" s="90"/>
      <c r="M22" s="112">
        <f>SUM(M18:M21)</f>
        <v>7733.335</v>
      </c>
      <c r="N22" s="90"/>
      <c r="O22" s="90"/>
      <c r="P22" s="88"/>
      <c r="Q22" s="88"/>
      <c r="R22" s="88"/>
      <c r="S22" s="88"/>
      <c r="T22" s="88"/>
      <c r="U22" s="88"/>
      <c r="V22" s="62"/>
      <c r="X22" s="63"/>
      <c r="Y22" s="63"/>
      <c r="Z22" s="62"/>
      <c r="AA22" s="62"/>
      <c r="AB22" s="62"/>
      <c r="AC22" s="62"/>
    </row>
    <row r="23" spans="1:29" x14ac:dyDescent="0.25">
      <c r="A23" s="90"/>
      <c r="B23" s="90"/>
      <c r="C23" s="90"/>
      <c r="D23" s="90"/>
      <c r="E23" s="90"/>
      <c r="F23" s="90"/>
      <c r="G23" s="90"/>
      <c r="H23" s="90"/>
      <c r="I23" s="90"/>
      <c r="J23" s="90"/>
      <c r="K23" s="90"/>
      <c r="L23" s="90"/>
      <c r="M23" s="90"/>
      <c r="N23" s="90"/>
      <c r="O23" s="90"/>
      <c r="P23" s="88"/>
      <c r="Q23" s="88"/>
      <c r="R23" s="88"/>
      <c r="S23" s="88"/>
      <c r="T23" s="88"/>
      <c r="U23" s="88"/>
      <c r="V23" s="62"/>
      <c r="W23" s="62"/>
      <c r="X23" s="62"/>
      <c r="Y23" s="62"/>
    </row>
    <row r="24" spans="1:29" x14ac:dyDescent="0.25">
      <c r="A24" s="90"/>
      <c r="B24" s="94" t="s">
        <v>97</v>
      </c>
      <c r="C24" s="90"/>
      <c r="D24" s="90"/>
      <c r="E24" s="90"/>
      <c r="F24" s="90"/>
      <c r="G24" s="90"/>
      <c r="H24" s="90"/>
      <c r="I24" s="90"/>
      <c r="J24" s="90"/>
      <c r="K24" s="90"/>
      <c r="L24" s="90"/>
      <c r="M24" s="90"/>
      <c r="N24" s="90"/>
      <c r="O24" s="90"/>
      <c r="P24" s="88"/>
      <c r="Q24" s="88"/>
      <c r="R24" s="88"/>
      <c r="S24" s="88"/>
      <c r="T24" s="88"/>
      <c r="U24" s="88"/>
      <c r="V24" s="62"/>
      <c r="W24" s="62"/>
      <c r="X24" s="62"/>
      <c r="Y24" s="62"/>
    </row>
    <row r="25" spans="1:29" ht="15.75" x14ac:dyDescent="0.25">
      <c r="A25" s="90"/>
      <c r="B25" s="219"/>
      <c r="C25" s="95" t="s">
        <v>98</v>
      </c>
      <c r="D25" s="90"/>
      <c r="E25" s="95">
        <f>'10. Current tariff method 21'!B14+'10. Current tariff method 21'!B13</f>
        <v>318.0541986552081</v>
      </c>
      <c r="F25" s="90"/>
      <c r="G25" s="90"/>
      <c r="H25" s="90"/>
      <c r="I25" s="90"/>
      <c r="J25" s="90"/>
      <c r="K25" s="90"/>
      <c r="L25" s="90"/>
      <c r="M25" s="90"/>
      <c r="N25" s="90"/>
      <c r="O25" s="90"/>
      <c r="P25" s="88"/>
      <c r="Q25" s="88"/>
      <c r="R25" s="88"/>
      <c r="S25" s="88"/>
      <c r="T25" s="88"/>
      <c r="U25" s="88"/>
      <c r="V25" s="62"/>
      <c r="W25" s="62"/>
      <c r="X25" s="62"/>
      <c r="Y25" s="62"/>
    </row>
    <row r="26" spans="1:29" x14ac:dyDescent="0.25">
      <c r="A26" s="91" t="s">
        <v>99</v>
      </c>
      <c r="B26" s="90"/>
      <c r="C26" s="95" t="s">
        <v>100</v>
      </c>
      <c r="D26" s="90"/>
      <c r="E26" s="95">
        <f>'10. Current tariff method 21'!B14</f>
        <v>222.63793905864566</v>
      </c>
      <c r="F26" s="90"/>
      <c r="G26" s="90"/>
      <c r="H26" s="90"/>
      <c r="I26" s="90"/>
      <c r="J26" s="90"/>
      <c r="K26" s="90"/>
      <c r="L26" s="90"/>
      <c r="M26" s="90"/>
      <c r="N26" s="90"/>
      <c r="O26" s="90"/>
      <c r="P26" s="88"/>
      <c r="Q26" s="88"/>
      <c r="R26" s="88"/>
      <c r="S26" s="88"/>
      <c r="T26" s="88"/>
      <c r="U26" s="88"/>
    </row>
    <row r="27" spans="1:29" x14ac:dyDescent="0.25">
      <c r="A27" s="91" t="s">
        <v>101</v>
      </c>
      <c r="B27" s="90"/>
      <c r="C27" s="95" t="s">
        <v>102</v>
      </c>
      <c r="D27" s="95"/>
      <c r="E27" s="95">
        <v>0.5</v>
      </c>
      <c r="F27" s="90"/>
      <c r="G27" s="90"/>
      <c r="H27" s="90"/>
      <c r="I27" s="90"/>
      <c r="J27" s="90"/>
      <c r="K27" s="90"/>
      <c r="L27" s="90"/>
      <c r="M27" s="90"/>
      <c r="N27" s="90"/>
      <c r="O27" s="90"/>
      <c r="P27" s="88"/>
      <c r="Q27" s="88"/>
      <c r="R27" s="88"/>
      <c r="S27" s="88"/>
      <c r="T27" s="88"/>
      <c r="U27" s="88"/>
    </row>
    <row r="28" spans="1:29" x14ac:dyDescent="0.25">
      <c r="A28" s="91" t="s">
        <v>101</v>
      </c>
      <c r="B28" s="90"/>
      <c r="C28" s="95" t="s">
        <v>103</v>
      </c>
      <c r="D28" s="95"/>
      <c r="E28" s="95">
        <f>E26*E27</f>
        <v>111.31896952932283</v>
      </c>
      <c r="F28" s="90"/>
      <c r="G28" s="90"/>
      <c r="H28" s="90"/>
      <c r="I28" s="90"/>
      <c r="J28" s="90"/>
      <c r="K28" s="90"/>
      <c r="L28" s="90"/>
      <c r="M28" s="90"/>
      <c r="N28" s="90"/>
      <c r="O28" s="90"/>
      <c r="P28" s="88"/>
      <c r="Q28" s="88"/>
      <c r="R28" s="88"/>
      <c r="S28" s="88"/>
      <c r="T28" s="88"/>
      <c r="U28" s="88"/>
    </row>
    <row r="29" spans="1:29" x14ac:dyDescent="0.25">
      <c r="A29" s="90"/>
      <c r="B29" s="90"/>
      <c r="C29" s="95" t="s">
        <v>104</v>
      </c>
      <c r="D29" s="95"/>
      <c r="E29" s="95">
        <f>E26*(1-E27)</f>
        <v>111.31896952932283</v>
      </c>
      <c r="F29" s="90"/>
      <c r="G29" s="90"/>
      <c r="H29" s="90"/>
      <c r="I29" s="90"/>
      <c r="J29" s="90"/>
      <c r="K29" s="90"/>
      <c r="L29" s="90"/>
      <c r="M29" s="90"/>
      <c r="N29" s="90"/>
      <c r="O29" s="90"/>
      <c r="P29" s="88"/>
      <c r="Q29" s="88"/>
      <c r="R29" s="88"/>
      <c r="S29" s="88"/>
      <c r="T29" s="88"/>
      <c r="U29" s="88"/>
    </row>
    <row r="30" spans="1:29" x14ac:dyDescent="0.25">
      <c r="A30" s="90"/>
      <c r="B30" s="90"/>
      <c r="C30" s="95" t="s">
        <v>105</v>
      </c>
      <c r="D30" s="90"/>
      <c r="E30" s="95">
        <f>'10. Current tariff method 21'!B13</f>
        <v>95.41625959656244</v>
      </c>
      <c r="F30" s="90"/>
      <c r="G30" s="90"/>
      <c r="H30" s="90"/>
      <c r="I30" s="90"/>
      <c r="J30" s="90"/>
      <c r="K30" s="90"/>
      <c r="L30" s="90"/>
      <c r="M30" s="90"/>
      <c r="N30" s="90"/>
      <c r="O30" s="90"/>
      <c r="P30" s="88"/>
      <c r="Q30" s="88"/>
      <c r="R30" s="88"/>
      <c r="S30" s="88"/>
      <c r="T30" s="88"/>
      <c r="U30" s="88"/>
    </row>
    <row r="31" spans="1:29" x14ac:dyDescent="0.25">
      <c r="A31" s="90"/>
      <c r="B31" s="90"/>
      <c r="C31" s="90"/>
      <c r="D31" s="90"/>
      <c r="E31" s="90"/>
      <c r="F31" s="90"/>
      <c r="G31" s="90"/>
      <c r="H31" s="90"/>
      <c r="I31" s="90"/>
      <c r="J31" s="90"/>
      <c r="K31" s="90"/>
      <c r="L31" s="90"/>
      <c r="M31" s="90"/>
      <c r="N31" s="90"/>
      <c r="O31" s="90"/>
      <c r="P31" s="88"/>
      <c r="Q31" s="88"/>
      <c r="R31" s="88"/>
      <c r="S31" s="88"/>
      <c r="T31" s="88"/>
      <c r="U31" s="88"/>
    </row>
    <row r="32" spans="1:29" x14ac:dyDescent="0.25">
      <c r="A32" s="90"/>
      <c r="B32" s="90"/>
      <c r="C32" s="90"/>
      <c r="D32" s="90"/>
      <c r="E32" s="90"/>
      <c r="F32" s="90"/>
      <c r="G32" s="90"/>
      <c r="H32" s="90"/>
      <c r="I32" s="90"/>
      <c r="J32" s="90"/>
      <c r="K32" s="92"/>
      <c r="L32" s="92"/>
      <c r="M32" s="90"/>
      <c r="N32" s="90"/>
      <c r="O32" s="90"/>
      <c r="P32" s="88"/>
      <c r="Q32" s="88"/>
      <c r="R32" s="88"/>
      <c r="S32" s="88"/>
      <c r="T32" s="88"/>
      <c r="U32" s="88"/>
    </row>
    <row r="33" spans="1:21" x14ac:dyDescent="0.25">
      <c r="A33" s="90"/>
      <c r="B33" s="93" t="s">
        <v>106</v>
      </c>
      <c r="C33" s="90"/>
      <c r="D33" s="90"/>
      <c r="E33" s="90"/>
      <c r="F33" s="90"/>
      <c r="G33" s="90"/>
      <c r="H33" s="90"/>
      <c r="I33" s="90"/>
      <c r="J33" s="93" t="s">
        <v>107</v>
      </c>
      <c r="K33" s="90"/>
      <c r="L33" s="90"/>
      <c r="M33" s="90"/>
      <c r="N33" s="90"/>
      <c r="O33" s="90"/>
      <c r="P33" s="88"/>
      <c r="Q33" s="88"/>
      <c r="R33" s="88"/>
      <c r="S33" s="88"/>
      <c r="T33" s="88"/>
      <c r="U33" s="88"/>
    </row>
    <row r="34" spans="1:21" x14ac:dyDescent="0.25">
      <c r="A34" s="90"/>
      <c r="B34" s="94" t="s">
        <v>108</v>
      </c>
      <c r="C34" s="94" t="s">
        <v>8</v>
      </c>
      <c r="D34" s="90"/>
      <c r="E34" s="90"/>
      <c r="F34" s="90"/>
      <c r="G34" s="90"/>
      <c r="H34" s="90"/>
      <c r="I34" s="90"/>
      <c r="J34" s="94" t="s">
        <v>109</v>
      </c>
      <c r="K34" s="95" t="s">
        <v>26</v>
      </c>
      <c r="L34" s="90"/>
      <c r="M34" s="90"/>
      <c r="N34" s="90"/>
      <c r="O34" s="90"/>
      <c r="P34" s="88"/>
      <c r="Q34" s="88"/>
      <c r="R34" s="88"/>
      <c r="S34" s="88"/>
      <c r="T34" s="88"/>
      <c r="U34" s="88"/>
    </row>
    <row r="35" spans="1:21" x14ac:dyDescent="0.25">
      <c r="A35" s="90"/>
      <c r="B35" s="94" t="s">
        <v>26</v>
      </c>
      <c r="C35" s="95" t="s">
        <v>68</v>
      </c>
      <c r="D35" s="95" t="s">
        <v>66</v>
      </c>
      <c r="E35" s="95" t="s">
        <v>64</v>
      </c>
      <c r="F35" s="95" t="s">
        <v>96</v>
      </c>
      <c r="G35" s="90"/>
      <c r="H35" s="90"/>
      <c r="I35" s="90"/>
      <c r="J35" s="95" t="s">
        <v>8</v>
      </c>
      <c r="K35" s="95" t="s">
        <v>70</v>
      </c>
      <c r="L35" s="95" t="s">
        <v>73</v>
      </c>
      <c r="M35" s="95" t="s">
        <v>68</v>
      </c>
      <c r="N35" s="95" t="s">
        <v>96</v>
      </c>
      <c r="O35" s="90"/>
      <c r="P35" s="88"/>
      <c r="Q35" s="88"/>
      <c r="R35" s="88"/>
      <c r="S35" s="88"/>
      <c r="T35" s="88"/>
      <c r="U35" s="88"/>
    </row>
    <row r="36" spans="1:21" x14ac:dyDescent="0.25">
      <c r="A36" s="90"/>
      <c r="B36" s="95" t="s">
        <v>70</v>
      </c>
      <c r="C36" s="95">
        <f>ABS(C20-C18)+ABS(D18-D20)</f>
        <v>149.80000000000001</v>
      </c>
      <c r="D36" s="95">
        <f>ABS(K19-C18)+ABS(L19-D18)</f>
        <v>275.39999999999998</v>
      </c>
      <c r="E36" s="95">
        <f>ABS(K20-C18)+ABS(L20-D18)</f>
        <v>190</v>
      </c>
      <c r="F36" s="95">
        <f>ABS(K21-C18)+ABS(L21-D18)</f>
        <v>97.8</v>
      </c>
      <c r="G36" s="90"/>
      <c r="H36" s="90"/>
      <c r="I36" s="90"/>
      <c r="J36" s="95" t="s">
        <v>68</v>
      </c>
      <c r="K36" s="95">
        <f t="shared" ref="K36:L39" si="0">$M18</f>
        <v>1E-3</v>
      </c>
      <c r="L36" s="95">
        <f t="shared" si="0"/>
        <v>1E-3</v>
      </c>
      <c r="M36" s="95">
        <v>0</v>
      </c>
      <c r="N36" s="95">
        <f>$M18</f>
        <v>1E-3</v>
      </c>
      <c r="O36" s="90"/>
      <c r="P36" s="88"/>
      <c r="Q36" s="88"/>
      <c r="R36" s="88"/>
      <c r="S36" s="88"/>
      <c r="T36" s="88"/>
      <c r="U36" s="88"/>
    </row>
    <row r="37" spans="1:21" x14ac:dyDescent="0.25">
      <c r="A37" s="90"/>
      <c r="B37" s="95" t="s">
        <v>73</v>
      </c>
      <c r="C37" s="95">
        <f>ABS(C19-C20)+ABS(D19-D20)</f>
        <v>93</v>
      </c>
      <c r="D37" s="95">
        <f>ABS(K19-C19)+ABS(L19-D19)</f>
        <v>218.59999999999997</v>
      </c>
      <c r="E37" s="95">
        <f>ABS(K20-C19)+ABS(L20-D19)</f>
        <v>133.19999999999999</v>
      </c>
      <c r="F37" s="95">
        <f>ABS(K21-C19)+ABS(L21-D19)</f>
        <v>41</v>
      </c>
      <c r="G37" s="90"/>
      <c r="H37" s="90"/>
      <c r="I37" s="90"/>
      <c r="J37" s="95" t="s">
        <v>66</v>
      </c>
      <c r="K37" s="95">
        <f t="shared" si="0"/>
        <v>1E-3</v>
      </c>
      <c r="L37" s="95">
        <f t="shared" si="0"/>
        <v>1E-3</v>
      </c>
      <c r="M37" s="95">
        <f>$M19</f>
        <v>1E-3</v>
      </c>
      <c r="N37" s="95">
        <f>$M19</f>
        <v>1E-3</v>
      </c>
      <c r="O37" s="90"/>
      <c r="P37" s="88"/>
      <c r="Q37" s="88"/>
      <c r="R37" s="88"/>
      <c r="S37" s="88"/>
      <c r="T37" s="88"/>
      <c r="U37" s="88"/>
    </row>
    <row r="38" spans="1:21" x14ac:dyDescent="0.25">
      <c r="A38" s="90"/>
      <c r="B38" s="95" t="s">
        <v>68</v>
      </c>
      <c r="C38" s="95">
        <v>0</v>
      </c>
      <c r="D38" s="95">
        <f>ABS(K19-K18)+ABS(L19-L18)</f>
        <v>311.59999999999997</v>
      </c>
      <c r="E38" s="95">
        <f>ABS(K20-K18)+ABS(L20-L18)</f>
        <v>226.2</v>
      </c>
      <c r="F38" s="95">
        <f>ABS(K21-K18)+ABS(L21-L18)</f>
        <v>134</v>
      </c>
      <c r="G38" s="90"/>
      <c r="H38" s="90"/>
      <c r="I38" s="90"/>
      <c r="J38" s="95" t="s">
        <v>64</v>
      </c>
      <c r="K38" s="95">
        <f t="shared" si="0"/>
        <v>3733.3330000000001</v>
      </c>
      <c r="L38" s="95">
        <f t="shared" si="0"/>
        <v>3733.3330000000001</v>
      </c>
      <c r="M38" s="95">
        <f>$M20</f>
        <v>3733.3330000000001</v>
      </c>
      <c r="N38" s="95">
        <f>$M20</f>
        <v>3733.3330000000001</v>
      </c>
      <c r="O38" s="90"/>
      <c r="P38" s="88"/>
      <c r="Q38" s="88"/>
      <c r="R38" s="88"/>
      <c r="S38" s="88"/>
      <c r="T38" s="88"/>
      <c r="U38" s="88"/>
    </row>
    <row r="39" spans="1:21" x14ac:dyDescent="0.25">
      <c r="A39" s="90"/>
      <c r="B39" s="95" t="s">
        <v>96</v>
      </c>
      <c r="C39" s="95">
        <f>ABS(C21-C20)+ABS(D21-D20)</f>
        <v>134</v>
      </c>
      <c r="D39" s="95">
        <f>ABS(K19-K21)+ABS(L19-L21)</f>
        <v>177.59999999999997</v>
      </c>
      <c r="E39" s="95">
        <f>ABS(K20-K21)+ABS(L20-L21)</f>
        <v>92.2</v>
      </c>
      <c r="F39" s="95">
        <v>0</v>
      </c>
      <c r="G39" s="90"/>
      <c r="H39" s="90"/>
      <c r="I39" s="90"/>
      <c r="J39" s="95" t="s">
        <v>96</v>
      </c>
      <c r="K39" s="95">
        <f t="shared" si="0"/>
        <v>4000</v>
      </c>
      <c r="L39" s="95">
        <f t="shared" si="0"/>
        <v>4000</v>
      </c>
      <c r="M39" s="95">
        <f>$M21</f>
        <v>4000</v>
      </c>
      <c r="N39" s="95">
        <v>0</v>
      </c>
      <c r="O39" s="90"/>
      <c r="P39" s="88"/>
      <c r="Q39" s="88"/>
      <c r="R39" s="88"/>
      <c r="S39" s="88"/>
      <c r="T39" s="88"/>
      <c r="U39" s="88"/>
    </row>
    <row r="40" spans="1:21" x14ac:dyDescent="0.25">
      <c r="A40" s="90"/>
      <c r="B40" s="90"/>
      <c r="C40" s="90"/>
      <c r="D40" s="90"/>
      <c r="E40" s="90"/>
      <c r="F40" s="90"/>
      <c r="G40" s="90"/>
      <c r="H40" s="90"/>
      <c r="I40" s="90"/>
      <c r="J40" s="95"/>
      <c r="K40" s="95"/>
      <c r="L40" s="95"/>
      <c r="M40" s="95"/>
      <c r="N40" s="95"/>
      <c r="O40" s="90"/>
      <c r="P40" s="88"/>
      <c r="Q40" s="88"/>
      <c r="R40" s="88"/>
      <c r="S40" s="88"/>
      <c r="T40" s="88"/>
      <c r="U40" s="88"/>
    </row>
    <row r="41" spans="1:21" x14ac:dyDescent="0.25">
      <c r="A41" s="90"/>
      <c r="B41" s="90"/>
      <c r="C41" s="90"/>
      <c r="D41" s="90"/>
      <c r="E41" s="90"/>
      <c r="F41" s="90"/>
      <c r="G41" s="90"/>
      <c r="H41" s="90"/>
      <c r="I41" s="90"/>
      <c r="J41" s="96" t="s">
        <v>14</v>
      </c>
      <c r="K41" s="96">
        <f>SUM(K36:K39)</f>
        <v>7733.335</v>
      </c>
      <c r="L41" s="96">
        <f t="shared" ref="L41:N41" si="1">SUM(L36:L39)</f>
        <v>7733.335</v>
      </c>
      <c r="M41" s="96">
        <f t="shared" si="1"/>
        <v>7733.3340000000007</v>
      </c>
      <c r="N41" s="96">
        <f t="shared" si="1"/>
        <v>3733.335</v>
      </c>
      <c r="O41" s="90"/>
      <c r="P41" s="88"/>
      <c r="Q41" s="88"/>
      <c r="R41" s="88"/>
      <c r="S41" s="88"/>
      <c r="T41" s="88"/>
      <c r="U41" s="88"/>
    </row>
    <row r="42" spans="1:21" x14ac:dyDescent="0.25">
      <c r="A42" s="90"/>
      <c r="B42" s="90"/>
      <c r="C42" s="90"/>
      <c r="D42" s="90"/>
      <c r="E42" s="90"/>
      <c r="F42" s="90"/>
      <c r="G42" s="90"/>
      <c r="H42" s="90"/>
      <c r="I42" s="90"/>
      <c r="J42" s="90"/>
      <c r="K42" s="90"/>
      <c r="L42" s="90"/>
      <c r="M42" s="90"/>
      <c r="N42" s="90"/>
      <c r="O42" s="88"/>
      <c r="P42" s="88"/>
      <c r="Q42" s="88"/>
      <c r="R42" s="88"/>
      <c r="S42" s="88"/>
      <c r="T42" s="88"/>
      <c r="U42" s="88"/>
    </row>
    <row r="43" spans="1:21" x14ac:dyDescent="0.25">
      <c r="A43" s="90"/>
      <c r="B43" s="93" t="s">
        <v>110</v>
      </c>
      <c r="C43" s="93"/>
      <c r="D43" s="93"/>
      <c r="E43" s="93" t="s">
        <v>111</v>
      </c>
      <c r="F43" s="93"/>
      <c r="G43" s="93"/>
      <c r="H43" s="93"/>
      <c r="I43" s="93"/>
      <c r="J43" s="93" t="s">
        <v>193</v>
      </c>
      <c r="K43" s="93"/>
      <c r="L43" s="90"/>
      <c r="M43" s="90"/>
      <c r="N43" s="90"/>
      <c r="O43" s="88"/>
      <c r="P43" s="88"/>
      <c r="Q43" s="88"/>
      <c r="R43" s="88"/>
      <c r="S43" s="88"/>
      <c r="T43" s="88"/>
      <c r="U43" s="88"/>
    </row>
    <row r="44" spans="1:21" x14ac:dyDescent="0.25">
      <c r="A44" s="91" t="s">
        <v>114</v>
      </c>
      <c r="B44" s="95"/>
      <c r="C44" s="94" t="s">
        <v>115</v>
      </c>
      <c r="D44" s="94"/>
      <c r="E44" s="94" t="s">
        <v>116</v>
      </c>
      <c r="F44" s="95"/>
      <c r="G44" s="95"/>
      <c r="H44" s="94"/>
      <c r="I44" s="95"/>
      <c r="J44" s="94" t="s">
        <v>118</v>
      </c>
      <c r="K44" s="94" t="s">
        <v>8</v>
      </c>
      <c r="L44" s="90"/>
      <c r="M44" s="90"/>
      <c r="N44" s="90"/>
      <c r="O44" s="88"/>
      <c r="P44" s="88"/>
      <c r="Q44" s="88"/>
      <c r="R44" s="88"/>
      <c r="S44" s="88"/>
      <c r="T44" s="88"/>
      <c r="U44" s="88"/>
    </row>
    <row r="45" spans="1:21" x14ac:dyDescent="0.25">
      <c r="A45" s="90"/>
      <c r="B45" s="95" t="s">
        <v>70</v>
      </c>
      <c r="C45" s="95">
        <f>MMULT(C36:F36,K36:K39)/K41</f>
        <v>142.31036095035324</v>
      </c>
      <c r="D45" s="95"/>
      <c r="E45" s="95">
        <f>SUMPRODUCT(C45:C48,E18:E21)</f>
        <v>1374564.4198768903</v>
      </c>
      <c r="F45" s="95"/>
      <c r="G45" s="95"/>
      <c r="H45" s="95"/>
      <c r="I45" s="95"/>
      <c r="J45" s="94" t="s">
        <v>26</v>
      </c>
      <c r="K45" s="95" t="s">
        <v>68</v>
      </c>
      <c r="L45" s="95" t="s">
        <v>66</v>
      </c>
      <c r="M45" s="95" t="s">
        <v>64</v>
      </c>
      <c r="N45" s="95" t="s">
        <v>96</v>
      </c>
      <c r="O45" s="88"/>
      <c r="P45" s="88"/>
      <c r="Q45" s="88"/>
      <c r="R45" s="88"/>
      <c r="S45" s="88"/>
      <c r="T45" s="88"/>
      <c r="U45" s="88"/>
    </row>
    <row r="46" spans="1:21" x14ac:dyDescent="0.25">
      <c r="A46" s="90"/>
      <c r="B46" s="95" t="s">
        <v>73</v>
      </c>
      <c r="C46" s="95">
        <f>MMULT(C37:F37,L36:L39)/L41</f>
        <v>85.510360950353245</v>
      </c>
      <c r="D46" s="95"/>
      <c r="E46" s="95"/>
      <c r="F46" s="95"/>
      <c r="G46" s="95"/>
      <c r="H46" s="95"/>
      <c r="I46" s="95"/>
      <c r="J46" s="95" t="s">
        <v>70</v>
      </c>
      <c r="K46" s="95">
        <f t="shared" ref="K46:N47" si="2">$E18</f>
        <v>210</v>
      </c>
      <c r="L46" s="95">
        <f t="shared" si="2"/>
        <v>210</v>
      </c>
      <c r="M46" s="95">
        <f t="shared" si="2"/>
        <v>210</v>
      </c>
      <c r="N46" s="95">
        <f t="shared" si="2"/>
        <v>210</v>
      </c>
      <c r="O46" s="88"/>
      <c r="P46" s="88"/>
      <c r="Q46" s="88"/>
      <c r="R46" s="88"/>
      <c r="S46" s="88"/>
      <c r="T46" s="88"/>
      <c r="U46" s="88"/>
    </row>
    <row r="47" spans="1:21" x14ac:dyDescent="0.25">
      <c r="A47" s="90"/>
      <c r="B47" s="95" t="s">
        <v>68</v>
      </c>
      <c r="C47" s="95">
        <f>MMULT(C38:F38,M36:M39)/M41</f>
        <v>178.51035998186552</v>
      </c>
      <c r="D47" s="95"/>
      <c r="E47" s="95"/>
      <c r="F47" s="95"/>
      <c r="G47" s="95"/>
      <c r="H47" s="95"/>
      <c r="I47" s="95"/>
      <c r="J47" s="95" t="s">
        <v>73</v>
      </c>
      <c r="K47" s="95">
        <f t="shared" si="2"/>
        <v>645</v>
      </c>
      <c r="L47" s="95">
        <f t="shared" si="2"/>
        <v>645</v>
      </c>
      <c r="M47" s="95">
        <f t="shared" si="2"/>
        <v>645</v>
      </c>
      <c r="N47" s="95">
        <f t="shared" si="2"/>
        <v>645</v>
      </c>
      <c r="O47" s="88"/>
      <c r="P47" s="88"/>
      <c r="Q47" s="88"/>
      <c r="R47" s="88"/>
      <c r="S47" s="88"/>
      <c r="T47" s="88"/>
      <c r="U47" s="88"/>
    </row>
    <row r="48" spans="1:21" x14ac:dyDescent="0.25">
      <c r="A48" s="90"/>
      <c r="B48" s="95" t="s">
        <v>96</v>
      </c>
      <c r="C48" s="95">
        <f>MMULT(C39:F39,N36:N39)/N41</f>
        <v>92.20003407141337</v>
      </c>
      <c r="D48" s="95"/>
      <c r="E48" s="95"/>
      <c r="F48" s="95"/>
      <c r="G48" s="95"/>
      <c r="H48" s="95"/>
      <c r="I48" s="95"/>
      <c r="J48" s="95" t="s">
        <v>68</v>
      </c>
      <c r="K48" s="95">
        <f>$J76</f>
        <v>0</v>
      </c>
      <c r="L48" s="95">
        <f>$E20</f>
        <v>3608.3330000000001</v>
      </c>
      <c r="M48" s="95">
        <f>$E20</f>
        <v>3608.3330000000001</v>
      </c>
      <c r="N48" s="95">
        <f>$E20</f>
        <v>3608.3330000000001</v>
      </c>
      <c r="O48" s="88"/>
      <c r="P48" s="88"/>
      <c r="Q48" s="88"/>
      <c r="R48" s="88"/>
      <c r="S48" s="88"/>
      <c r="T48" s="88"/>
      <c r="U48" s="88"/>
    </row>
    <row r="49" spans="1:21" x14ac:dyDescent="0.25">
      <c r="A49" s="90"/>
      <c r="B49" s="90"/>
      <c r="C49" s="90"/>
      <c r="D49" s="90"/>
      <c r="E49" s="90"/>
      <c r="F49" s="90"/>
      <c r="G49" s="90"/>
      <c r="H49" s="90"/>
      <c r="I49" s="90"/>
      <c r="J49" s="95" t="s">
        <v>96</v>
      </c>
      <c r="K49" s="95">
        <f>$E21</f>
        <v>7000</v>
      </c>
      <c r="L49" s="95">
        <f>$E21</f>
        <v>7000</v>
      </c>
      <c r="M49" s="95">
        <f>$E21</f>
        <v>7000</v>
      </c>
      <c r="N49" s="95">
        <v>0</v>
      </c>
      <c r="O49" s="88"/>
      <c r="P49" s="88"/>
      <c r="Q49" s="88"/>
      <c r="R49" s="88"/>
      <c r="S49" s="88"/>
      <c r="T49" s="88"/>
      <c r="U49" s="88"/>
    </row>
    <row r="50" spans="1:21" x14ac:dyDescent="0.25">
      <c r="A50" s="90"/>
      <c r="B50" s="90"/>
      <c r="C50" s="90"/>
      <c r="D50" s="90"/>
      <c r="E50" s="90"/>
      <c r="F50" s="90"/>
      <c r="G50" s="90"/>
      <c r="H50" s="90"/>
      <c r="I50" s="90"/>
      <c r="J50" s="95"/>
      <c r="K50" s="95"/>
      <c r="L50" s="95"/>
      <c r="M50" s="95"/>
      <c r="N50" s="95"/>
      <c r="O50" s="88"/>
      <c r="P50" s="90"/>
      <c r="Q50" s="90"/>
      <c r="R50" s="90"/>
      <c r="S50" s="90"/>
      <c r="T50" s="90"/>
      <c r="U50" s="88"/>
    </row>
    <row r="51" spans="1:21" x14ac:dyDescent="0.25">
      <c r="A51" s="90"/>
      <c r="B51" s="90"/>
      <c r="C51" s="90"/>
      <c r="D51" s="90"/>
      <c r="E51" s="90"/>
      <c r="F51" s="90"/>
      <c r="G51" s="90"/>
      <c r="H51" s="90"/>
      <c r="I51" s="90"/>
      <c r="J51" s="96" t="s">
        <v>14</v>
      </c>
      <c r="K51" s="96">
        <f>SUM(K46:K49)</f>
        <v>7855</v>
      </c>
      <c r="L51" s="96">
        <f t="shared" ref="L51:N51" si="3">SUM(L46:L49)</f>
        <v>11463.333000000001</v>
      </c>
      <c r="M51" s="96">
        <f t="shared" si="3"/>
        <v>11463.333000000001</v>
      </c>
      <c r="N51" s="96">
        <f t="shared" si="3"/>
        <v>4463.3330000000005</v>
      </c>
      <c r="O51" s="88"/>
      <c r="P51" s="90"/>
      <c r="Q51" s="90"/>
      <c r="R51" s="90"/>
      <c r="S51" s="90"/>
      <c r="T51" s="90"/>
      <c r="U51" s="88"/>
    </row>
    <row r="52" spans="1:21" x14ac:dyDescent="0.25">
      <c r="A52" s="90"/>
      <c r="B52" s="90"/>
      <c r="C52" s="90"/>
      <c r="D52" s="90"/>
      <c r="E52" s="90"/>
      <c r="F52" s="90"/>
      <c r="G52" s="90"/>
      <c r="H52" s="90"/>
      <c r="I52" s="90"/>
      <c r="J52" s="90"/>
      <c r="K52" s="90"/>
      <c r="L52" s="90"/>
      <c r="M52" s="90"/>
      <c r="N52" s="90"/>
      <c r="O52" s="88"/>
      <c r="P52" s="90"/>
      <c r="Q52" s="97"/>
      <c r="R52" s="90"/>
      <c r="S52" s="90"/>
      <c r="T52" s="90"/>
      <c r="U52" s="88"/>
    </row>
    <row r="53" spans="1:21" x14ac:dyDescent="0.25">
      <c r="A53" s="90"/>
      <c r="B53" s="93" t="s">
        <v>194</v>
      </c>
      <c r="C53" s="93"/>
      <c r="D53" s="93"/>
      <c r="E53" s="93" t="s">
        <v>195</v>
      </c>
      <c r="F53" s="93"/>
      <c r="G53" s="93"/>
      <c r="H53" s="93"/>
      <c r="I53" s="93"/>
      <c r="J53" s="98" t="s">
        <v>196</v>
      </c>
      <c r="K53" s="99"/>
      <c r="L53" s="100"/>
      <c r="M53" s="101"/>
      <c r="N53" s="102"/>
      <c r="O53" s="88"/>
      <c r="U53" s="88"/>
    </row>
    <row r="54" spans="1:21" x14ac:dyDescent="0.25">
      <c r="A54" s="90"/>
      <c r="B54" s="95"/>
      <c r="C54" s="94" t="s">
        <v>122</v>
      </c>
      <c r="D54" s="94"/>
      <c r="E54" s="94" t="s">
        <v>116</v>
      </c>
      <c r="F54" s="94"/>
      <c r="G54" s="94"/>
      <c r="H54" s="94"/>
      <c r="I54" s="90"/>
      <c r="J54" s="103"/>
      <c r="K54" s="88"/>
      <c r="L54" s="88"/>
      <c r="M54" s="38"/>
      <c r="N54" s="39"/>
      <c r="O54" s="90"/>
      <c r="U54" s="88"/>
    </row>
    <row r="55" spans="1:21" x14ac:dyDescent="0.25">
      <c r="A55" s="90"/>
      <c r="B55" s="95" t="s">
        <v>68</v>
      </c>
      <c r="C55" s="95">
        <f>SUMPRODUCT(K46:K49,C36:C39)/K51</f>
        <v>131.05576066199873</v>
      </c>
      <c r="D55" s="90"/>
      <c r="E55" s="95">
        <f>SUMPRODUCT(C55:C58,M18:M21)</f>
        <v>992413.80012140376</v>
      </c>
      <c r="F55" s="95"/>
      <c r="G55" s="95"/>
      <c r="H55" s="95"/>
      <c r="J55" s="104" t="s">
        <v>135</v>
      </c>
      <c r="K55" s="105" t="s">
        <v>136</v>
      </c>
      <c r="L55" s="88"/>
      <c r="M55" s="38"/>
      <c r="N55" s="39"/>
      <c r="O55" s="90"/>
      <c r="U55" s="88"/>
    </row>
    <row r="56" spans="1:21" x14ac:dyDescent="0.25">
      <c r="A56" s="90"/>
      <c r="B56" s="95" t="s">
        <v>66</v>
      </c>
      <c r="C56" s="95">
        <f>SUMPRODUCT(L46:L49,D36:D39)/L51</f>
        <v>223.87795615812604</v>
      </c>
      <c r="D56" s="90"/>
      <c r="E56" s="95"/>
      <c r="F56" s="95"/>
      <c r="G56" s="95"/>
      <c r="H56" s="95"/>
      <c r="J56" s="106">
        <f>M77</f>
        <v>2.7162005226836764E-2</v>
      </c>
      <c r="K56" s="107">
        <f>J56*E18</f>
        <v>5.7040210976357208</v>
      </c>
      <c r="L56" s="107"/>
      <c r="M56" s="38"/>
      <c r="N56" s="39"/>
      <c r="O56" s="90"/>
      <c r="U56" s="88"/>
    </row>
    <row r="57" spans="1:21" x14ac:dyDescent="0.25">
      <c r="A57" s="90"/>
      <c r="B57" s="95" t="s">
        <v>64</v>
      </c>
      <c r="C57" s="95">
        <f>SUMPRODUCT(M46:M49,E36:E39)/M51</f>
        <v>138.47795615812609</v>
      </c>
      <c r="D57" s="90"/>
      <c r="E57" s="95"/>
      <c r="F57" s="95"/>
      <c r="G57" s="95"/>
      <c r="H57" s="95"/>
      <c r="J57" s="106">
        <f>M77</f>
        <v>2.7162005226836764E-2</v>
      </c>
      <c r="K57" s="107">
        <f>J57*E19</f>
        <v>17.519493371309714</v>
      </c>
      <c r="L57" s="107"/>
      <c r="M57" s="38"/>
      <c r="N57" s="39"/>
      <c r="O57" s="90"/>
      <c r="U57" s="88"/>
    </row>
    <row r="58" spans="1:21" x14ac:dyDescent="0.25">
      <c r="A58" s="90"/>
      <c r="B58" s="95" t="s">
        <v>96</v>
      </c>
      <c r="C58" s="95">
        <f>SUMPRODUCT(N46:N49,F36:F39)/N51</f>
        <v>118.85728042250038</v>
      </c>
      <c r="D58" s="90"/>
      <c r="E58" s="95"/>
      <c r="F58" s="95"/>
      <c r="G58" s="95"/>
      <c r="H58" s="95"/>
      <c r="J58" s="106">
        <f>M77</f>
        <v>2.7162005226836764E-2</v>
      </c>
      <c r="K58" s="107">
        <f>J58*E20</f>
        <v>98.009559806167587</v>
      </c>
      <c r="L58" s="107"/>
      <c r="M58" s="88"/>
      <c r="N58" s="108"/>
      <c r="O58" s="90"/>
      <c r="U58" s="88"/>
    </row>
    <row r="59" spans="1:21" x14ac:dyDescent="0.25">
      <c r="A59" s="90"/>
      <c r="B59" s="90"/>
      <c r="C59" s="90"/>
      <c r="D59" s="90"/>
      <c r="E59" s="90"/>
      <c r="F59" s="90"/>
      <c r="G59" s="90"/>
      <c r="H59" s="90"/>
      <c r="J59" s="106">
        <v>0</v>
      </c>
      <c r="K59" s="107">
        <f>J59*E21</f>
        <v>0</v>
      </c>
      <c r="L59" s="107"/>
      <c r="M59" s="88"/>
      <c r="N59" s="108"/>
      <c r="O59" s="90"/>
      <c r="U59" s="88"/>
    </row>
    <row r="60" spans="1:21" x14ac:dyDescent="0.25">
      <c r="A60" s="90"/>
      <c r="B60" s="93"/>
      <c r="C60" s="93"/>
      <c r="D60" s="93"/>
      <c r="E60" s="93"/>
      <c r="F60" s="93"/>
      <c r="G60" s="93"/>
      <c r="H60" s="90"/>
      <c r="J60" s="106"/>
      <c r="K60" s="107"/>
      <c r="L60" s="107"/>
      <c r="M60" s="88"/>
      <c r="N60" s="108"/>
      <c r="O60" s="90"/>
      <c r="U60" s="88"/>
    </row>
    <row r="61" spans="1:21" x14ac:dyDescent="0.25">
      <c r="A61" s="90"/>
      <c r="B61" s="90"/>
      <c r="C61" s="90"/>
      <c r="D61" s="90"/>
      <c r="E61" s="90"/>
      <c r="F61" s="90"/>
      <c r="G61" s="90"/>
      <c r="H61" s="90"/>
      <c r="J61" s="103"/>
      <c r="K61" s="109">
        <f>SUM(K56:K59)</f>
        <v>121.23307427511303</v>
      </c>
      <c r="L61" s="88"/>
      <c r="M61" s="88"/>
      <c r="N61" s="108"/>
      <c r="O61" s="90"/>
      <c r="U61" s="88"/>
    </row>
    <row r="62" spans="1:21" x14ac:dyDescent="0.25">
      <c r="A62" s="90"/>
      <c r="B62" s="94"/>
      <c r="C62" s="94"/>
      <c r="D62" s="94"/>
      <c r="J62" s="103"/>
      <c r="K62" s="88"/>
      <c r="L62" s="88"/>
      <c r="M62" s="88"/>
      <c r="N62" s="108"/>
      <c r="O62" s="90"/>
      <c r="U62" s="88"/>
    </row>
    <row r="63" spans="1:21" x14ac:dyDescent="0.25">
      <c r="A63" s="90"/>
      <c r="B63" s="95"/>
      <c r="C63" s="95"/>
      <c r="D63" s="95"/>
      <c r="J63" s="103"/>
      <c r="K63" s="88"/>
      <c r="L63" s="88"/>
      <c r="M63" s="88"/>
      <c r="N63" s="108"/>
      <c r="O63" s="90"/>
      <c r="U63" s="88"/>
    </row>
    <row r="64" spans="1:21" x14ac:dyDescent="0.25">
      <c r="A64" s="90"/>
      <c r="J64" s="110" t="s">
        <v>197</v>
      </c>
      <c r="K64" s="111"/>
      <c r="L64" s="88"/>
      <c r="M64" s="88"/>
      <c r="N64" s="108"/>
      <c r="O64" s="90"/>
      <c r="U64" s="88"/>
    </row>
    <row r="65" spans="1:21" x14ac:dyDescent="0.25">
      <c r="A65" s="90"/>
      <c r="J65" s="103"/>
      <c r="K65" s="88"/>
      <c r="L65" s="88"/>
      <c r="M65" s="88"/>
      <c r="N65" s="108"/>
      <c r="O65" s="90"/>
      <c r="U65" s="88"/>
    </row>
    <row r="66" spans="1:21" x14ac:dyDescent="0.25">
      <c r="A66" s="90"/>
      <c r="H66" s="90"/>
      <c r="J66" s="104" t="s">
        <v>149</v>
      </c>
      <c r="K66" s="105" t="s">
        <v>150</v>
      </c>
      <c r="L66" s="88"/>
      <c r="M66" s="88"/>
      <c r="N66" s="108"/>
      <c r="O66" s="90"/>
      <c r="U66" s="88"/>
    </row>
    <row r="67" spans="1:21" x14ac:dyDescent="0.25">
      <c r="A67" s="90"/>
      <c r="H67" s="90"/>
      <c r="J67" s="106">
        <f>M77</f>
        <v>2.7162005226836764E-2</v>
      </c>
      <c r="K67" s="107">
        <f>J67*M18</f>
        <v>2.7162005226836764E-5</v>
      </c>
      <c r="L67" s="107"/>
      <c r="M67" s="88"/>
      <c r="N67" s="108"/>
      <c r="O67" s="90"/>
      <c r="U67" s="88"/>
    </row>
    <row r="68" spans="1:21" x14ac:dyDescent="0.25">
      <c r="A68" s="90"/>
      <c r="B68" s="90"/>
      <c r="C68" s="90"/>
      <c r="D68" s="90"/>
      <c r="E68" s="112"/>
      <c r="F68" s="90"/>
      <c r="G68" s="90"/>
      <c r="H68" s="90"/>
      <c r="J68" s="106">
        <f>M77</f>
        <v>2.7162005226836764E-2</v>
      </c>
      <c r="K68" s="107">
        <f>J68*M19</f>
        <v>2.7162005226836764E-5</v>
      </c>
      <c r="L68" s="107"/>
      <c r="M68" s="88"/>
      <c r="N68" s="108"/>
      <c r="O68" s="90"/>
      <c r="U68" s="88"/>
    </row>
    <row r="69" spans="1:21" x14ac:dyDescent="0.25">
      <c r="A69" s="90"/>
      <c r="B69" s="90"/>
      <c r="C69" s="90"/>
      <c r="D69" s="90"/>
      <c r="E69" s="90"/>
      <c r="F69" s="90"/>
      <c r="G69" s="90"/>
      <c r="H69" s="90"/>
      <c r="J69" s="106">
        <f>M77</f>
        <v>2.7162005226836764E-2</v>
      </c>
      <c r="K69" s="107">
        <f>J69*M20</f>
        <v>101.40481045952218</v>
      </c>
      <c r="L69" s="107"/>
      <c r="M69" s="88"/>
      <c r="N69" s="108"/>
      <c r="O69" s="90"/>
      <c r="U69" s="88"/>
    </row>
    <row r="70" spans="1:21" x14ac:dyDescent="0.25">
      <c r="A70" s="90"/>
      <c r="B70" s="90"/>
      <c r="C70" s="90"/>
      <c r="D70" s="90"/>
      <c r="E70" s="90"/>
      <c r="F70" s="90"/>
      <c r="G70" s="90"/>
      <c r="H70" s="90"/>
      <c r="J70" s="106">
        <v>0</v>
      </c>
      <c r="K70" s="107">
        <f>J70*M21</f>
        <v>0</v>
      </c>
      <c r="L70" s="107"/>
      <c r="M70" s="88"/>
      <c r="N70" s="108"/>
      <c r="O70" s="90"/>
      <c r="U70" s="88"/>
    </row>
    <row r="71" spans="1:21" x14ac:dyDescent="0.25">
      <c r="A71" s="90"/>
      <c r="B71" s="93"/>
      <c r="C71" s="93"/>
      <c r="D71" s="93"/>
      <c r="E71" s="93"/>
      <c r="F71" s="93"/>
      <c r="G71" s="93"/>
      <c r="H71" s="90"/>
      <c r="J71" s="106"/>
      <c r="K71" s="107"/>
      <c r="L71" s="107"/>
      <c r="M71" s="88"/>
      <c r="N71" s="108"/>
      <c r="O71" s="90"/>
      <c r="U71" s="88"/>
    </row>
    <row r="72" spans="1:21" x14ac:dyDescent="0.25">
      <c r="A72" s="90"/>
      <c r="B72" s="90"/>
      <c r="C72" s="90"/>
      <c r="D72" s="90"/>
      <c r="E72" s="90"/>
      <c r="F72" s="90"/>
      <c r="G72" s="90"/>
      <c r="H72" s="90"/>
      <c r="J72" s="103"/>
      <c r="K72" s="109">
        <f>SUM(K67:K70)</f>
        <v>101.40486478353263</v>
      </c>
      <c r="L72" s="88"/>
      <c r="M72" s="88"/>
      <c r="N72" s="108"/>
      <c r="O72" s="90"/>
      <c r="U72" s="88"/>
    </row>
    <row r="73" spans="1:21" x14ac:dyDescent="0.25">
      <c r="A73" s="90"/>
      <c r="B73" s="94"/>
      <c r="C73" s="94"/>
      <c r="D73" s="94"/>
      <c r="E73" s="94"/>
      <c r="F73" s="94"/>
      <c r="G73" s="90"/>
      <c r="H73" s="90"/>
      <c r="J73" s="113"/>
      <c r="K73" s="38"/>
      <c r="L73" s="38"/>
      <c r="M73" s="88"/>
      <c r="N73" s="108"/>
      <c r="O73" s="90"/>
      <c r="U73" s="88"/>
    </row>
    <row r="74" spans="1:21" x14ac:dyDescent="0.25">
      <c r="A74" s="90"/>
      <c r="B74" s="95"/>
      <c r="C74" s="95"/>
      <c r="D74" s="95"/>
      <c r="E74" s="95"/>
      <c r="F74" s="95"/>
      <c r="G74" s="95"/>
      <c r="H74" s="90"/>
      <c r="J74" s="113"/>
      <c r="K74" s="38"/>
      <c r="L74" s="38"/>
      <c r="M74" s="88"/>
      <c r="N74" s="108"/>
      <c r="O74" s="90"/>
      <c r="U74" s="88"/>
    </row>
    <row r="75" spans="1:21" x14ac:dyDescent="0.25">
      <c r="A75" s="90"/>
      <c r="B75" s="95"/>
      <c r="C75" s="95"/>
      <c r="D75" s="95"/>
      <c r="E75" s="95"/>
      <c r="F75" s="95"/>
      <c r="G75" s="95"/>
      <c r="H75" s="90"/>
      <c r="J75" s="114"/>
      <c r="K75" s="115"/>
      <c r="L75" s="115"/>
      <c r="M75" s="115"/>
      <c r="N75" s="116"/>
      <c r="O75" s="90"/>
      <c r="U75" s="88"/>
    </row>
    <row r="76" spans="1:21" x14ac:dyDescent="0.25">
      <c r="A76" s="90"/>
      <c r="B76" s="95"/>
      <c r="C76" s="95"/>
      <c r="D76" s="95"/>
      <c r="E76" s="95"/>
      <c r="F76" s="95"/>
      <c r="G76" s="95"/>
      <c r="H76" s="90"/>
      <c r="J76" s="114"/>
      <c r="K76" s="115" t="s">
        <v>30</v>
      </c>
      <c r="L76" s="115"/>
      <c r="M76" s="115" t="s">
        <v>198</v>
      </c>
      <c r="N76" s="116"/>
      <c r="O76" s="90"/>
      <c r="P76" s="90"/>
      <c r="U76" s="88"/>
    </row>
    <row r="77" spans="1:21" x14ac:dyDescent="0.25">
      <c r="A77" s="90"/>
      <c r="B77" s="95"/>
      <c r="C77" s="95"/>
      <c r="D77" s="95"/>
      <c r="E77" s="95"/>
      <c r="F77" s="95"/>
      <c r="G77" s="95"/>
      <c r="H77" s="90"/>
      <c r="J77" s="114" t="s">
        <v>199</v>
      </c>
      <c r="K77" s="115">
        <f>'10. Current tariff method 21'!B20</f>
        <v>27.162005226836765</v>
      </c>
      <c r="L77" s="115"/>
      <c r="M77" s="115">
        <f>K77*10^(-3)</f>
        <v>2.7162005226836764E-2</v>
      </c>
      <c r="N77" s="116"/>
      <c r="O77" s="90"/>
      <c r="U77" s="88"/>
    </row>
    <row r="78" spans="1:21" x14ac:dyDescent="0.25">
      <c r="A78" s="90"/>
      <c r="B78" s="95"/>
      <c r="C78" s="95"/>
      <c r="D78" s="95"/>
      <c r="E78" s="95"/>
      <c r="F78" s="95"/>
      <c r="G78" s="95"/>
      <c r="H78" s="90"/>
      <c r="J78" s="117"/>
      <c r="K78" s="118"/>
      <c r="L78" s="118"/>
      <c r="M78" s="118"/>
      <c r="N78" s="119"/>
      <c r="O78" s="90"/>
      <c r="U78" s="88"/>
    </row>
    <row r="79" spans="1:21" x14ac:dyDescent="0.25">
      <c r="A79" s="90"/>
      <c r="B79" s="90"/>
      <c r="C79" s="90"/>
      <c r="D79" s="90"/>
      <c r="E79" s="112"/>
      <c r="F79" s="90"/>
      <c r="G79" s="90"/>
      <c r="H79" s="90"/>
      <c r="M79" s="88"/>
      <c r="N79" s="88"/>
      <c r="O79" s="90"/>
      <c r="U79" s="88"/>
    </row>
    <row r="80" spans="1:21" x14ac:dyDescent="0.25">
      <c r="A80" s="90"/>
      <c r="B80" s="90"/>
      <c r="C80" s="90"/>
      <c r="D80" s="90"/>
      <c r="E80" s="90"/>
      <c r="F80" s="90"/>
      <c r="G80" s="90"/>
      <c r="H80" s="90"/>
      <c r="M80" s="88"/>
      <c r="N80" s="88"/>
      <c r="O80" s="60"/>
      <c r="P80" s="88"/>
      <c r="Q80" s="88"/>
      <c r="R80" s="88"/>
      <c r="S80" s="88"/>
      <c r="T80" s="88"/>
      <c r="U80" s="88"/>
    </row>
    <row r="81" spans="1:12" ht="18.75" x14ac:dyDescent="0.3">
      <c r="A81" s="120"/>
      <c r="B81" s="60"/>
      <c r="C81" s="60"/>
      <c r="D81" s="60"/>
      <c r="E81" s="60"/>
      <c r="F81" s="60"/>
      <c r="G81" s="60"/>
      <c r="H81" s="60"/>
    </row>
    <row r="83" spans="1:12" x14ac:dyDescent="0.25">
      <c r="B83" s="68" t="s">
        <v>152</v>
      </c>
      <c r="J83" s="68" t="s">
        <v>153</v>
      </c>
    </row>
    <row r="84" spans="1:12" x14ac:dyDescent="0.25">
      <c r="B84" s="69" t="s">
        <v>154</v>
      </c>
      <c r="C84" s="69" t="s">
        <v>155</v>
      </c>
      <c r="D84" s="69" t="s">
        <v>156</v>
      </c>
      <c r="E84" s="69" t="s">
        <v>156</v>
      </c>
      <c r="F84" s="69" t="s">
        <v>155</v>
      </c>
      <c r="G84" s="74"/>
      <c r="J84" s="75" t="s">
        <v>157</v>
      </c>
      <c r="K84" s="75"/>
      <c r="L84" s="75"/>
    </row>
    <row r="85" spans="1:12" x14ac:dyDescent="0.25">
      <c r="B85" s="62"/>
      <c r="C85" s="62" t="s">
        <v>64</v>
      </c>
      <c r="D85" s="62" t="s">
        <v>68</v>
      </c>
      <c r="E85" s="62" t="s">
        <v>66</v>
      </c>
      <c r="F85" s="62" t="s">
        <v>96</v>
      </c>
      <c r="G85" s="74"/>
      <c r="J85" s="74"/>
      <c r="K85" s="69" t="s">
        <v>158</v>
      </c>
      <c r="L85" s="69" t="s">
        <v>159</v>
      </c>
    </row>
    <row r="86" spans="1:12" x14ac:dyDescent="0.25">
      <c r="B86" s="69" t="s">
        <v>160</v>
      </c>
      <c r="C86" s="62">
        <f>M20</f>
        <v>3733.3330000000001</v>
      </c>
      <c r="D86" s="62">
        <f>M18</f>
        <v>1E-3</v>
      </c>
      <c r="E86" s="62">
        <f>M19</f>
        <v>1E-3</v>
      </c>
      <c r="F86" s="62">
        <f>M21</f>
        <v>4000</v>
      </c>
      <c r="G86" s="74"/>
      <c r="J86" s="76" t="s">
        <v>70</v>
      </c>
      <c r="K86" s="62">
        <f>(K38*E36+K39*F36)/SUM(K38,K39)</f>
        <v>142.31034277199751</v>
      </c>
      <c r="L86" s="62">
        <f>(K36*C36+K37*D36)/SUM(K36,K37)</f>
        <v>212.6</v>
      </c>
    </row>
    <row r="87" spans="1:12" x14ac:dyDescent="0.25">
      <c r="B87" s="69" t="s">
        <v>161</v>
      </c>
      <c r="C87" s="62">
        <f>C86*C57</f>
        <v>516984.32349768537</v>
      </c>
      <c r="D87" s="62">
        <f>D86*C55</f>
        <v>0.13105576066199873</v>
      </c>
      <c r="E87" s="62">
        <f>E86*C56</f>
        <v>0.22387795615812606</v>
      </c>
      <c r="F87" s="62">
        <f>F86*C58</f>
        <v>475429.12169000151</v>
      </c>
      <c r="G87" s="74"/>
      <c r="J87" s="76" t="s">
        <v>73</v>
      </c>
      <c r="K87" s="62">
        <f>(L38*E37+L39*F37)/SUM(L38,L39)</f>
        <v>85.510342771997529</v>
      </c>
      <c r="L87" s="62">
        <f>(L36*C37+L37*D37)/SUM(L36,L37)</f>
        <v>155.79999999999998</v>
      </c>
    </row>
    <row r="88" spans="1:12" x14ac:dyDescent="0.25">
      <c r="J88" s="76" t="s">
        <v>68</v>
      </c>
      <c r="K88" s="62">
        <f>(M38*E38+M39*F38)/SUM(M38,M39)</f>
        <v>178.51034277199753</v>
      </c>
      <c r="L88" s="62">
        <f>(M36*C38+M37*D38)/SUM(M36,M37)</f>
        <v>311.59999999999997</v>
      </c>
    </row>
    <row r="89" spans="1:12" x14ac:dyDescent="0.25">
      <c r="C89" s="62" t="s">
        <v>162</v>
      </c>
      <c r="J89" s="76" t="s">
        <v>96</v>
      </c>
      <c r="K89" s="62">
        <f>(N38*E39+N39*F39)/SUM(N38,N39)</f>
        <v>92.2</v>
      </c>
      <c r="L89" s="62">
        <f>(N36*C39+N37*D39)/SUM(N36,N37)</f>
        <v>155.79999999999998</v>
      </c>
    </row>
    <row r="90" spans="1:12" x14ac:dyDescent="0.25">
      <c r="B90" s="68" t="s">
        <v>163</v>
      </c>
      <c r="J90" s="68" t="s">
        <v>164</v>
      </c>
      <c r="K90" s="62"/>
      <c r="L90" s="62"/>
    </row>
    <row r="91" spans="1:12" ht="34.5" x14ac:dyDescent="0.25">
      <c r="C91" s="76" t="s">
        <v>165</v>
      </c>
      <c r="D91" s="76" t="s">
        <v>166</v>
      </c>
      <c r="E91" s="76" t="s">
        <v>167</v>
      </c>
      <c r="F91" s="76" t="s">
        <v>168</v>
      </c>
      <c r="G91" s="76" t="s">
        <v>169</v>
      </c>
      <c r="J91" s="76" t="s">
        <v>170</v>
      </c>
      <c r="K91" s="62">
        <f>SUMPRODUCT(C92:C95,J56:J59)</f>
        <v>2.1151452945685693E-5</v>
      </c>
      <c r="L91" s="62"/>
    </row>
    <row r="92" spans="1:12" ht="23.25" x14ac:dyDescent="0.25">
      <c r="B92" s="76" t="s">
        <v>70</v>
      </c>
      <c r="C92" s="62">
        <f>SUM($D$86:$E$86)/SUM($E$18:$E$21)*E18</f>
        <v>3.6638558785651611E-5</v>
      </c>
      <c r="D92" s="62" t="s">
        <v>171</v>
      </c>
      <c r="E92" s="62">
        <f>E18-C92</f>
        <v>209.99996336144122</v>
      </c>
      <c r="F92" s="62">
        <f>C92*L86</f>
        <v>7.7893575978295326E-3</v>
      </c>
      <c r="G92" s="62">
        <f>E92*K86</f>
        <v>29885.166768073617</v>
      </c>
      <c r="J92" s="76" t="s">
        <v>172</v>
      </c>
      <c r="K92" s="62">
        <f>K61-K91</f>
        <v>121.23305312366008</v>
      </c>
      <c r="L92" s="62"/>
    </row>
    <row r="93" spans="1:12" ht="23.25" x14ac:dyDescent="0.25">
      <c r="B93" s="76" t="s">
        <v>73</v>
      </c>
      <c r="C93" s="62">
        <f>SUM($D$86:$E$86)/SUM($E$18:$E$21)*E19</f>
        <v>1.1253271627021565E-4</v>
      </c>
      <c r="D93" s="62" t="s">
        <v>171</v>
      </c>
      <c r="E93" s="62">
        <f>E19-C93</f>
        <v>644.99988746728377</v>
      </c>
      <c r="F93" s="62">
        <f>C93*L87</f>
        <v>1.7532597194899597E-2</v>
      </c>
      <c r="G93" s="62">
        <f>E93*K87</f>
        <v>55154.161465227269</v>
      </c>
      <c r="J93" s="76" t="s">
        <v>173</v>
      </c>
      <c r="K93" s="62">
        <f>D86*J67+E86*J68</f>
        <v>5.4324010453673528E-5</v>
      </c>
      <c r="L93" s="62"/>
    </row>
    <row r="94" spans="1:12" ht="23.25" x14ac:dyDescent="0.25">
      <c r="B94" s="76" t="s">
        <v>68</v>
      </c>
      <c r="C94" s="62">
        <f>SUM($D$86:$E$86)/SUM($E$18:$E$21)*E20</f>
        <v>6.2954343208907913E-4</v>
      </c>
      <c r="D94" s="62" t="s">
        <v>171</v>
      </c>
      <c r="E94" s="62">
        <f>E20-C94</f>
        <v>3608.3323704565678</v>
      </c>
      <c r="F94" s="62">
        <f>C94*L88</f>
        <v>0.19616573343895705</v>
      </c>
      <c r="G94" s="62">
        <f>E94*K88</f>
        <v>644124.64828549628</v>
      </c>
      <c r="J94" s="76" t="s">
        <v>174</v>
      </c>
      <c r="K94" s="62">
        <f>K72-K93</f>
        <v>101.40481045952218</v>
      </c>
      <c r="L94" s="62"/>
    </row>
    <row r="95" spans="1:12" x14ac:dyDescent="0.25">
      <c r="B95" s="76" t="s">
        <v>96</v>
      </c>
      <c r="C95" s="62">
        <f>SUM($D$86:$E$86)/SUM($E$18:$E$21)*E21</f>
        <v>1.2212852928550537E-3</v>
      </c>
      <c r="D95" s="62" t="s">
        <v>171</v>
      </c>
      <c r="E95" s="62">
        <f>E21-C95</f>
        <v>6999.9987787147074</v>
      </c>
      <c r="F95" s="62">
        <f>C95*L89</f>
        <v>0.19027624862681736</v>
      </c>
      <c r="G95" s="62">
        <f>E95*K89</f>
        <v>645399.88739749603</v>
      </c>
      <c r="H95" s="69"/>
      <c r="J95" s="76" t="s">
        <v>175</v>
      </c>
      <c r="K95" s="62">
        <f>K92+K94</f>
        <v>222.63786358318225</v>
      </c>
      <c r="L95" s="62"/>
    </row>
    <row r="96" spans="1:12" x14ac:dyDescent="0.25">
      <c r="B96" s="76"/>
      <c r="C96" s="62"/>
      <c r="D96" s="62"/>
      <c r="E96" s="62"/>
      <c r="F96" s="62"/>
      <c r="G96" s="62"/>
      <c r="J96" s="76" t="s">
        <v>176</v>
      </c>
      <c r="K96" s="62">
        <f>K91+K93</f>
        <v>7.5475463399359228E-5</v>
      </c>
      <c r="L96" s="62"/>
    </row>
    <row r="97" spans="2:12" x14ac:dyDescent="0.25">
      <c r="B97" s="76" t="s">
        <v>177</v>
      </c>
      <c r="C97" s="62">
        <f>SUM(C92:C95)</f>
        <v>2E-3</v>
      </c>
      <c r="D97" s="62"/>
      <c r="E97" s="62">
        <f>SUM(E92:E95)</f>
        <v>11463.331</v>
      </c>
      <c r="F97" s="62">
        <f>SUM(F92:F95)</f>
        <v>0.41176393685850354</v>
      </c>
      <c r="G97" s="62">
        <f>SUM(G92:G95)</f>
        <v>1374563.8639162933</v>
      </c>
    </row>
    <row r="98" spans="2:12" x14ac:dyDescent="0.25">
      <c r="B98" s="76"/>
      <c r="C98" s="62"/>
      <c r="D98" s="62"/>
      <c r="E98" s="62"/>
      <c r="F98" s="62"/>
      <c r="G98" s="62"/>
    </row>
    <row r="99" spans="2:12" x14ac:dyDescent="0.25">
      <c r="B99" s="76" t="s">
        <v>178</v>
      </c>
      <c r="C99" s="62">
        <f>SUM(D86:E86)</f>
        <v>2E-3</v>
      </c>
      <c r="D99" s="62"/>
      <c r="E99" s="62"/>
      <c r="F99" s="62"/>
      <c r="G99" s="62"/>
    </row>
    <row r="100" spans="2:12" x14ac:dyDescent="0.25">
      <c r="B100" s="76"/>
    </row>
    <row r="101" spans="2:12" x14ac:dyDescent="0.25">
      <c r="B101" s="76"/>
    </row>
    <row r="102" spans="2:12" x14ac:dyDescent="0.25">
      <c r="B102" s="68" t="s">
        <v>179</v>
      </c>
      <c r="J102" s="68" t="s">
        <v>180</v>
      </c>
    </row>
    <row r="103" spans="2:12" x14ac:dyDescent="0.25">
      <c r="B103" s="76" t="s">
        <v>169</v>
      </c>
      <c r="C103" s="78"/>
      <c r="D103" s="62">
        <f>G97</f>
        <v>1374563.8639162933</v>
      </c>
      <c r="E103" s="62"/>
      <c r="J103" s="79" t="s">
        <v>181</v>
      </c>
      <c r="K103" s="80"/>
      <c r="L103" s="81"/>
    </row>
    <row r="104" spans="2:12" x14ac:dyDescent="0.25">
      <c r="B104" s="76" t="s">
        <v>182</v>
      </c>
      <c r="C104" s="78"/>
      <c r="D104" s="62">
        <f>C87+F87</f>
        <v>992413.44518768694</v>
      </c>
      <c r="E104" s="62"/>
      <c r="J104" s="82" t="s">
        <v>183</v>
      </c>
      <c r="K104" s="83">
        <f>K95*10^6/D105</f>
        <v>94.059990658491714</v>
      </c>
      <c r="L104" s="84" t="s">
        <v>184</v>
      </c>
    </row>
    <row r="105" spans="2:12" x14ac:dyDescent="0.25">
      <c r="B105" s="76" t="s">
        <v>185</v>
      </c>
      <c r="C105" s="78"/>
      <c r="D105" s="62">
        <f>SUM(D103:D104)</f>
        <v>2366977.3091039802</v>
      </c>
      <c r="E105" s="62"/>
      <c r="J105" s="82" t="s">
        <v>186</v>
      </c>
      <c r="K105" s="83">
        <f>K96*10^6/D108</f>
        <v>98.442277783460895</v>
      </c>
      <c r="L105" s="84" t="s">
        <v>187</v>
      </c>
    </row>
    <row r="106" spans="2:12" x14ac:dyDescent="0.25">
      <c r="B106" s="76" t="s">
        <v>188</v>
      </c>
      <c r="C106" s="78"/>
      <c r="D106" s="62">
        <f>F97</f>
        <v>0.41176393685850354</v>
      </c>
      <c r="E106" s="62"/>
      <c r="J106" s="82" t="s">
        <v>189</v>
      </c>
      <c r="K106" s="85">
        <f>2*(ABS(K104-K105))/(K104+K105)</f>
        <v>4.5529719316431044E-2</v>
      </c>
      <c r="L106" s="84" t="s">
        <v>190</v>
      </c>
    </row>
    <row r="107" spans="2:12" x14ac:dyDescent="0.25">
      <c r="B107" s="76" t="s">
        <v>191</v>
      </c>
      <c r="C107" s="78"/>
      <c r="D107" s="62">
        <f>SUM(D87:E87)</f>
        <v>0.35493371682012476</v>
      </c>
      <c r="E107" s="62"/>
    </row>
    <row r="108" spans="2:12" x14ac:dyDescent="0.25">
      <c r="B108" s="76" t="s">
        <v>192</v>
      </c>
      <c r="C108" s="78"/>
      <c r="D108" s="62">
        <f>SUM(D106:D107)</f>
        <v>0.7666976536786283</v>
      </c>
      <c r="E108" s="62"/>
    </row>
    <row r="109" spans="2:12" x14ac:dyDescent="0.25">
      <c r="D109" s="62"/>
      <c r="E109" s="62"/>
    </row>
    <row r="110" spans="2:12" x14ac:dyDescent="0.25">
      <c r="D110" s="62"/>
      <c r="E110" s="62"/>
    </row>
    <row r="115" spans="5:5" x14ac:dyDescent="0.25">
      <c r="E115" s="62"/>
    </row>
  </sheetData>
  <conditionalFormatting sqref="K106">
    <cfRule type="cellIs" dxfId="35" priority="1" operator="lessThan">
      <formula>0.1</formula>
    </cfRule>
    <cfRule type="cellIs" dxfId="34" priority="2" operator="greaterThan">
      <formula>0.1</formula>
    </cfRule>
  </conditionalFormatting>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00"/>
  </sheetPr>
  <dimension ref="A1:Q115"/>
  <sheetViews>
    <sheetView topLeftCell="A58" workbookViewId="0">
      <selection activeCell="A25" sqref="A25"/>
    </sheetView>
  </sheetViews>
  <sheetFormatPr defaultColWidth="9.140625" defaultRowHeight="15" x14ac:dyDescent="0.25"/>
  <cols>
    <col min="1" max="2" width="9.140625" style="53"/>
    <col min="3" max="3" width="9.42578125" style="53" bestFit="1" customWidth="1"/>
    <col min="4" max="5" width="10" style="53" bestFit="1" customWidth="1"/>
    <col min="6" max="6" width="9.42578125" style="53" bestFit="1" customWidth="1"/>
    <col min="7" max="7" width="10" style="53" bestFit="1" customWidth="1"/>
    <col min="8" max="9" width="9.140625" style="53"/>
    <col min="10" max="10" width="20" style="53" customWidth="1"/>
    <col min="11" max="14" width="9.42578125" style="53" bestFit="1" customWidth="1"/>
    <col min="15" max="16384" width="9.140625" style="53"/>
  </cols>
  <sheetData>
    <row r="1" spans="1:15" x14ac:dyDescent="0.25">
      <c r="A1" s="53" t="s">
        <v>86</v>
      </c>
      <c r="F1" s="60"/>
      <c r="G1" s="60"/>
      <c r="H1" s="60"/>
      <c r="I1" s="60"/>
      <c r="J1" s="60"/>
      <c r="K1" s="60"/>
      <c r="L1" s="60"/>
      <c r="M1" s="60"/>
      <c r="N1" s="60"/>
      <c r="O1" s="60"/>
    </row>
    <row r="2" spans="1:15" ht="15.75" x14ac:dyDescent="0.25">
      <c r="A2" s="54" t="s">
        <v>87</v>
      </c>
      <c r="F2" s="60"/>
      <c r="G2" s="60"/>
      <c r="H2" s="60"/>
      <c r="I2" s="60"/>
      <c r="J2" s="60"/>
      <c r="K2" s="60"/>
      <c r="L2" s="60"/>
      <c r="M2" s="60"/>
      <c r="N2" s="60"/>
      <c r="O2" s="60"/>
    </row>
    <row r="3" spans="1:15" x14ac:dyDescent="0.25">
      <c r="A3" s="55" t="s">
        <v>88</v>
      </c>
      <c r="F3" s="60"/>
      <c r="G3" s="60"/>
      <c r="H3" s="60"/>
      <c r="I3" s="60"/>
      <c r="J3" s="60"/>
      <c r="K3" s="60"/>
      <c r="L3" s="60"/>
      <c r="M3" s="60"/>
      <c r="N3" s="60"/>
      <c r="O3" s="60"/>
    </row>
    <row r="4" spans="1:15" x14ac:dyDescent="0.25">
      <c r="B4" s="56"/>
      <c r="C4" s="56"/>
      <c r="D4" s="56"/>
      <c r="E4" s="56"/>
      <c r="F4" s="86"/>
      <c r="G4" s="60"/>
      <c r="H4" s="60"/>
      <c r="I4" s="60"/>
      <c r="J4" s="60"/>
      <c r="K4" s="60"/>
      <c r="L4" s="60"/>
      <c r="M4" s="60"/>
      <c r="N4" s="60"/>
      <c r="O4" s="60"/>
    </row>
    <row r="5" spans="1:15" x14ac:dyDescent="0.25">
      <c r="A5" s="57" t="s">
        <v>89</v>
      </c>
      <c r="B5" s="55"/>
      <c r="C5" s="55"/>
      <c r="D5" s="55"/>
      <c r="E5" s="55"/>
      <c r="F5" s="87"/>
      <c r="G5" s="87"/>
      <c r="H5" s="87"/>
      <c r="I5" s="60"/>
      <c r="J5" s="60"/>
      <c r="K5" s="60"/>
      <c r="L5" s="60"/>
      <c r="M5" s="60"/>
      <c r="N5" s="60"/>
      <c r="O5" s="60"/>
    </row>
    <row r="6" spans="1:15" x14ac:dyDescent="0.25">
      <c r="F6" s="60"/>
      <c r="G6" s="60"/>
      <c r="H6" s="60"/>
      <c r="I6" s="60"/>
      <c r="J6" s="60"/>
      <c r="K6" s="60"/>
      <c r="L6" s="60"/>
      <c r="M6" s="60"/>
      <c r="N6" s="60"/>
      <c r="O6" s="60"/>
    </row>
    <row r="7" spans="1:15" x14ac:dyDescent="0.25">
      <c r="F7" s="60"/>
      <c r="G7" s="60"/>
      <c r="H7" s="60"/>
      <c r="I7" s="60"/>
      <c r="J7" s="60"/>
      <c r="K7" s="60"/>
      <c r="L7" s="60"/>
      <c r="M7" s="60"/>
      <c r="N7" s="60"/>
      <c r="O7" s="60"/>
    </row>
    <row r="8" spans="1:15" x14ac:dyDescent="0.25">
      <c r="F8" s="60"/>
      <c r="G8" s="60"/>
      <c r="H8" s="60"/>
      <c r="I8" s="60"/>
      <c r="J8" s="60"/>
      <c r="K8" s="60"/>
      <c r="L8" s="60"/>
      <c r="M8" s="60"/>
      <c r="N8" s="60"/>
      <c r="O8" s="60"/>
    </row>
    <row r="9" spans="1:15" x14ac:dyDescent="0.25">
      <c r="F9" s="60"/>
      <c r="G9" s="60"/>
      <c r="H9" s="60"/>
      <c r="I9" s="60"/>
      <c r="J9" s="60"/>
      <c r="K9" s="60"/>
      <c r="L9" s="60"/>
      <c r="M9" s="60"/>
      <c r="N9" s="60"/>
      <c r="O9" s="60"/>
    </row>
    <row r="10" spans="1:15" x14ac:dyDescent="0.25">
      <c r="F10" s="60"/>
      <c r="G10" s="60"/>
      <c r="H10" s="60"/>
      <c r="I10" s="60"/>
      <c r="J10" s="60"/>
      <c r="K10" s="60"/>
      <c r="L10" s="60"/>
      <c r="M10" s="60"/>
      <c r="N10" s="60"/>
      <c r="O10" s="60"/>
    </row>
    <row r="14" spans="1:15" ht="18.75" x14ac:dyDescent="0.3">
      <c r="A14" s="120" t="s">
        <v>90</v>
      </c>
      <c r="B14" s="60"/>
      <c r="C14" s="60"/>
      <c r="D14" s="60"/>
      <c r="E14" s="60"/>
      <c r="F14" s="60"/>
      <c r="G14" s="60"/>
      <c r="H14" s="60"/>
      <c r="I14" s="60"/>
      <c r="J14" s="60"/>
      <c r="K14" s="60"/>
      <c r="L14" s="60"/>
      <c r="M14" s="60"/>
      <c r="N14" s="60"/>
      <c r="O14" s="60"/>
    </row>
    <row r="15" spans="1:15" x14ac:dyDescent="0.25">
      <c r="A15" s="60"/>
      <c r="B15" s="60"/>
      <c r="C15" s="60"/>
      <c r="D15" s="60"/>
      <c r="E15" s="60"/>
      <c r="F15" s="60"/>
      <c r="G15" s="60"/>
      <c r="H15" s="60"/>
      <c r="I15" s="60"/>
      <c r="J15" s="60"/>
      <c r="K15" s="60"/>
      <c r="L15" s="60"/>
      <c r="M15" s="60"/>
      <c r="N15" s="60"/>
      <c r="O15" s="60"/>
    </row>
    <row r="16" spans="1:15" x14ac:dyDescent="0.25">
      <c r="A16" s="60"/>
      <c r="B16" s="94" t="s">
        <v>91</v>
      </c>
      <c r="C16" s="90"/>
      <c r="D16" s="90"/>
      <c r="E16" s="90"/>
      <c r="F16" s="90"/>
      <c r="G16" s="90"/>
      <c r="H16" s="90"/>
      <c r="I16" s="90"/>
      <c r="J16" s="90"/>
      <c r="K16" s="90"/>
      <c r="L16" s="90"/>
      <c r="M16" s="90"/>
      <c r="N16" s="90"/>
      <c r="O16" s="60"/>
    </row>
    <row r="17" spans="1:15" x14ac:dyDescent="0.25">
      <c r="A17" s="60"/>
      <c r="B17" s="94" t="s">
        <v>26</v>
      </c>
      <c r="C17" s="95" t="s">
        <v>92</v>
      </c>
      <c r="D17" s="95" t="s">
        <v>93</v>
      </c>
      <c r="E17" s="95" t="s">
        <v>94</v>
      </c>
      <c r="F17" s="95"/>
      <c r="G17" s="90"/>
      <c r="H17" s="90"/>
      <c r="I17" s="90"/>
      <c r="J17" s="94" t="s">
        <v>8</v>
      </c>
      <c r="K17" s="95" t="s">
        <v>92</v>
      </c>
      <c r="L17" s="95" t="s">
        <v>93</v>
      </c>
      <c r="M17" s="95" t="s">
        <v>94</v>
      </c>
      <c r="N17" s="95"/>
      <c r="O17" s="60"/>
    </row>
    <row r="18" spans="1:15" x14ac:dyDescent="0.25">
      <c r="A18" s="64" t="s">
        <v>95</v>
      </c>
      <c r="B18" s="95" t="s">
        <v>70</v>
      </c>
      <c r="C18" s="95">
        <v>0</v>
      </c>
      <c r="D18" s="95">
        <v>93</v>
      </c>
      <c r="E18" s="95">
        <f>'Forecasted Capacities'!C16*10^(-3)</f>
        <v>210</v>
      </c>
      <c r="F18" s="95"/>
      <c r="G18" s="90"/>
      <c r="H18" s="90"/>
      <c r="I18" s="90"/>
      <c r="J18" s="95" t="s">
        <v>68</v>
      </c>
      <c r="K18" s="95">
        <v>56.8</v>
      </c>
      <c r="L18" s="95">
        <v>0</v>
      </c>
      <c r="M18" s="95">
        <f>'Forecasted Capacities'!C13*10^(-3)</f>
        <v>1E-3</v>
      </c>
      <c r="N18" s="91" t="s">
        <v>200</v>
      </c>
      <c r="O18" s="60"/>
    </row>
    <row r="19" spans="1:15" x14ac:dyDescent="0.25">
      <c r="A19" s="60"/>
      <c r="B19" s="95" t="s">
        <v>73</v>
      </c>
      <c r="C19" s="95">
        <v>56.8</v>
      </c>
      <c r="D19" s="95">
        <v>93</v>
      </c>
      <c r="E19" s="95">
        <f>'Forecasted Capacities'!C18*10^(-3)</f>
        <v>645</v>
      </c>
      <c r="F19" s="95"/>
      <c r="G19" s="90"/>
      <c r="H19" s="90"/>
      <c r="I19" s="90"/>
      <c r="J19" s="95" t="s">
        <v>66</v>
      </c>
      <c r="K19" s="95">
        <v>275.39999999999998</v>
      </c>
      <c r="L19" s="95">
        <v>93</v>
      </c>
      <c r="M19" s="95">
        <f>'Forecasted Capacities'!C12*10^(-3)</f>
        <v>1E-3</v>
      </c>
      <c r="N19" s="95"/>
      <c r="O19" s="60"/>
    </row>
    <row r="20" spans="1:15" x14ac:dyDescent="0.25">
      <c r="A20" s="60"/>
      <c r="B20" s="95" t="s">
        <v>68</v>
      </c>
      <c r="C20" s="95">
        <v>56.8</v>
      </c>
      <c r="D20" s="95">
        <v>0</v>
      </c>
      <c r="E20" s="95">
        <f>'Forecasted Capacities'!C17*10^(-3)</f>
        <v>3608.3330000000001</v>
      </c>
      <c r="F20" s="95"/>
      <c r="G20" s="90"/>
      <c r="H20" s="90"/>
      <c r="I20" s="90"/>
      <c r="J20" s="95" t="s">
        <v>64</v>
      </c>
      <c r="K20" s="95">
        <v>190</v>
      </c>
      <c r="L20" s="95">
        <v>93</v>
      </c>
      <c r="M20" s="95">
        <f>'Forecasted Capacities'!C11*10^(-3)</f>
        <v>3733.3330000000001</v>
      </c>
      <c r="N20" s="95"/>
      <c r="O20" s="60"/>
    </row>
    <row r="21" spans="1:15" x14ac:dyDescent="0.25">
      <c r="A21" s="60"/>
      <c r="B21" s="95" t="s">
        <v>96</v>
      </c>
      <c r="C21" s="95">
        <v>97.8</v>
      </c>
      <c r="D21" s="95">
        <v>93</v>
      </c>
      <c r="E21" s="95">
        <f>'Forecasted Capacities'!C22*10^(-3)</f>
        <v>7000</v>
      </c>
      <c r="F21" s="95"/>
      <c r="G21" s="90"/>
      <c r="H21" s="90"/>
      <c r="I21" s="90"/>
      <c r="J21" s="95" t="s">
        <v>96</v>
      </c>
      <c r="K21" s="95">
        <v>97.8</v>
      </c>
      <c r="L21" s="95">
        <v>93</v>
      </c>
      <c r="M21" s="95">
        <f>'Forecasted Capacities'!C21*10^(-3)</f>
        <v>4000</v>
      </c>
      <c r="N21" s="95"/>
      <c r="O21" s="60"/>
    </row>
    <row r="22" spans="1:15" x14ac:dyDescent="0.25">
      <c r="A22" s="60"/>
      <c r="B22" s="90"/>
      <c r="C22" s="90"/>
      <c r="D22" s="90"/>
      <c r="E22" s="112">
        <f>SUM(E18:E21)</f>
        <v>11463.333000000001</v>
      </c>
      <c r="F22" s="90"/>
      <c r="G22" s="90"/>
      <c r="H22" s="90"/>
      <c r="I22" s="90"/>
      <c r="J22" s="90"/>
      <c r="K22" s="90"/>
      <c r="L22" s="90"/>
      <c r="M22" s="112">
        <f>SUM(M18:M21)</f>
        <v>7733.335</v>
      </c>
      <c r="N22" s="90"/>
      <c r="O22" s="60"/>
    </row>
    <row r="23" spans="1:15" x14ac:dyDescent="0.25">
      <c r="A23" s="60"/>
      <c r="B23" s="90"/>
      <c r="C23" s="90"/>
      <c r="D23" s="90"/>
      <c r="E23" s="90"/>
      <c r="F23" s="90"/>
      <c r="G23" s="90"/>
      <c r="H23" s="90"/>
      <c r="I23" s="90"/>
      <c r="J23" s="90"/>
      <c r="K23" s="90"/>
      <c r="L23" s="90"/>
      <c r="M23" s="90"/>
      <c r="N23" s="90"/>
      <c r="O23" s="60"/>
    </row>
    <row r="24" spans="1:15" x14ac:dyDescent="0.25">
      <c r="A24" s="60"/>
      <c r="B24" s="94" t="s">
        <v>97</v>
      </c>
      <c r="C24" s="90"/>
      <c r="D24" s="90"/>
      <c r="E24" s="90"/>
      <c r="F24" s="90"/>
      <c r="G24" s="90"/>
      <c r="H24" s="90"/>
      <c r="I24" s="90"/>
      <c r="J24" s="90"/>
      <c r="K24" s="90"/>
      <c r="L24" s="90"/>
      <c r="M24" s="90"/>
      <c r="N24" s="90"/>
      <c r="O24" s="60"/>
    </row>
    <row r="25" spans="1:15" ht="15.75" x14ac:dyDescent="0.25">
      <c r="A25" s="60"/>
      <c r="B25" s="219"/>
      <c r="C25" s="95" t="s">
        <v>98</v>
      </c>
      <c r="D25" s="90"/>
      <c r="E25" s="95">
        <f>'10. Current tariff method 21'!B13+'10. Current tariff method 21'!B14</f>
        <v>318.0541986552081</v>
      </c>
      <c r="F25" s="90"/>
      <c r="G25" s="90"/>
      <c r="H25" s="90"/>
      <c r="I25" s="90"/>
      <c r="J25" s="90"/>
      <c r="K25" s="90"/>
      <c r="L25" s="90"/>
      <c r="M25" s="90"/>
      <c r="N25" s="90"/>
      <c r="O25" s="60"/>
    </row>
    <row r="26" spans="1:15" x14ac:dyDescent="0.25">
      <c r="A26" s="64" t="s">
        <v>99</v>
      </c>
      <c r="B26" s="90"/>
      <c r="C26" s="95" t="s">
        <v>100</v>
      </c>
      <c r="D26" s="90"/>
      <c r="E26" s="95">
        <f>'10. Current tariff method 21'!B14</f>
        <v>222.63793905864566</v>
      </c>
      <c r="F26" s="90"/>
      <c r="G26" s="90"/>
      <c r="H26" s="90"/>
      <c r="I26" s="90"/>
      <c r="J26" s="90"/>
      <c r="K26" s="90"/>
      <c r="L26" s="90"/>
      <c r="M26" s="90"/>
      <c r="N26" s="90"/>
      <c r="O26" s="60"/>
    </row>
    <row r="27" spans="1:15" x14ac:dyDescent="0.25">
      <c r="A27" s="64" t="s">
        <v>101</v>
      </c>
      <c r="B27" s="90"/>
      <c r="C27" s="95" t="s">
        <v>102</v>
      </c>
      <c r="D27" s="95"/>
      <c r="E27" s="95">
        <v>0.5</v>
      </c>
      <c r="F27" s="90"/>
      <c r="G27" s="90"/>
      <c r="H27" s="90"/>
      <c r="I27" s="90"/>
      <c r="J27" s="90"/>
      <c r="K27" s="90"/>
      <c r="L27" s="90"/>
      <c r="M27" s="90"/>
      <c r="N27" s="90"/>
      <c r="O27" s="60"/>
    </row>
    <row r="28" spans="1:15" x14ac:dyDescent="0.25">
      <c r="A28" s="64" t="s">
        <v>101</v>
      </c>
      <c r="B28" s="90"/>
      <c r="C28" s="95" t="s">
        <v>103</v>
      </c>
      <c r="D28" s="95"/>
      <c r="E28" s="95">
        <f>E26*E27</f>
        <v>111.31896952932283</v>
      </c>
      <c r="F28" s="90"/>
      <c r="G28" s="90"/>
      <c r="H28" s="90"/>
      <c r="I28" s="90"/>
      <c r="J28" s="90"/>
      <c r="K28" s="90"/>
      <c r="L28" s="90"/>
      <c r="M28" s="90"/>
      <c r="N28" s="90"/>
      <c r="O28" s="60"/>
    </row>
    <row r="29" spans="1:15" x14ac:dyDescent="0.25">
      <c r="A29" s="60"/>
      <c r="B29" s="90"/>
      <c r="C29" s="95" t="s">
        <v>104</v>
      </c>
      <c r="D29" s="95"/>
      <c r="E29" s="95">
        <f>E26*(1-E27)</f>
        <v>111.31896952932283</v>
      </c>
      <c r="F29" s="90"/>
      <c r="G29" s="90"/>
      <c r="H29" s="90"/>
      <c r="I29" s="90"/>
      <c r="J29" s="90"/>
      <c r="K29" s="90"/>
      <c r="L29" s="90"/>
      <c r="M29" s="90"/>
      <c r="N29" s="90"/>
      <c r="O29" s="60"/>
    </row>
    <row r="30" spans="1:15" x14ac:dyDescent="0.25">
      <c r="A30" s="60"/>
      <c r="B30" s="90"/>
      <c r="C30" s="95" t="s">
        <v>105</v>
      </c>
      <c r="D30" s="90"/>
      <c r="E30" s="95">
        <f>'10. Current tariff method 21'!B13</f>
        <v>95.41625959656244</v>
      </c>
      <c r="F30" s="90"/>
      <c r="G30" s="90"/>
      <c r="H30" s="90"/>
      <c r="I30" s="90"/>
      <c r="J30" s="90"/>
      <c r="K30" s="90"/>
      <c r="L30" s="90"/>
      <c r="M30" s="90"/>
      <c r="N30" s="90"/>
      <c r="O30" s="60"/>
    </row>
    <row r="31" spans="1:15" x14ac:dyDescent="0.25">
      <c r="A31" s="60"/>
      <c r="B31" s="60"/>
      <c r="C31" s="60"/>
      <c r="D31" s="60"/>
      <c r="E31" s="60"/>
      <c r="F31" s="60"/>
      <c r="G31" s="60"/>
      <c r="H31" s="60"/>
      <c r="I31" s="60"/>
      <c r="J31" s="60"/>
      <c r="K31" s="60"/>
      <c r="L31" s="60"/>
      <c r="M31" s="60"/>
      <c r="N31" s="60"/>
      <c r="O31" s="60"/>
    </row>
    <row r="32" spans="1:15" x14ac:dyDescent="0.25">
      <c r="A32" s="60"/>
      <c r="B32" s="60"/>
      <c r="C32" s="60"/>
      <c r="D32" s="60"/>
      <c r="E32" s="60"/>
      <c r="F32" s="60"/>
      <c r="G32" s="60"/>
      <c r="H32" s="60"/>
      <c r="I32" s="60"/>
      <c r="J32" s="60"/>
      <c r="K32" s="121"/>
      <c r="L32" s="121"/>
      <c r="M32" s="60"/>
      <c r="N32" s="60"/>
      <c r="O32" s="60"/>
    </row>
    <row r="33" spans="1:15" x14ac:dyDescent="0.25">
      <c r="A33" s="60"/>
      <c r="B33" s="93" t="s">
        <v>106</v>
      </c>
      <c r="C33" s="60"/>
      <c r="D33" s="60"/>
      <c r="E33" s="60"/>
      <c r="F33" s="60"/>
      <c r="G33" s="60"/>
      <c r="H33" s="60"/>
      <c r="I33" s="60"/>
      <c r="J33" s="93" t="s">
        <v>107</v>
      </c>
      <c r="K33" s="60"/>
      <c r="L33" s="60"/>
      <c r="M33" s="60"/>
      <c r="N33" s="60"/>
      <c r="O33" s="60"/>
    </row>
    <row r="34" spans="1:15" x14ac:dyDescent="0.25">
      <c r="A34" s="60"/>
      <c r="B34" s="59" t="s">
        <v>108</v>
      </c>
      <c r="C34" s="59" t="s">
        <v>8</v>
      </c>
      <c r="D34" s="60"/>
      <c r="E34" s="60"/>
      <c r="F34" s="60"/>
      <c r="G34" s="60"/>
      <c r="H34" s="60"/>
      <c r="I34" s="60"/>
      <c r="J34" s="59" t="s">
        <v>109</v>
      </c>
      <c r="K34" s="61" t="s">
        <v>26</v>
      </c>
      <c r="L34" s="60"/>
      <c r="M34" s="60"/>
      <c r="N34" s="60"/>
      <c r="O34" s="60"/>
    </row>
    <row r="35" spans="1:15" x14ac:dyDescent="0.25">
      <c r="A35" s="60"/>
      <c r="B35" s="59" t="s">
        <v>26</v>
      </c>
      <c r="C35" s="61" t="s">
        <v>68</v>
      </c>
      <c r="D35" s="61" t="s">
        <v>66</v>
      </c>
      <c r="E35" s="61" t="s">
        <v>64</v>
      </c>
      <c r="F35" s="61" t="s">
        <v>96</v>
      </c>
      <c r="G35" s="60"/>
      <c r="H35" s="60"/>
      <c r="I35" s="60"/>
      <c r="J35" s="61" t="s">
        <v>8</v>
      </c>
      <c r="K35" s="61" t="s">
        <v>70</v>
      </c>
      <c r="L35" s="61" t="s">
        <v>73</v>
      </c>
      <c r="M35" s="61" t="s">
        <v>68</v>
      </c>
      <c r="N35" s="61" t="s">
        <v>96</v>
      </c>
      <c r="O35" s="60"/>
    </row>
    <row r="36" spans="1:15" x14ac:dyDescent="0.25">
      <c r="A36" s="60"/>
      <c r="B36" s="61" t="s">
        <v>70</v>
      </c>
      <c r="C36" s="61">
        <f>ABS(C20-C18)+ABS(D18-D20)</f>
        <v>149.80000000000001</v>
      </c>
      <c r="D36" s="61">
        <f>ABS(K19-C18)+ABS(L19-D18)</f>
        <v>275.39999999999998</v>
      </c>
      <c r="E36" s="61">
        <f>ABS(K20-C18)+ABS(L20-D18)</f>
        <v>190</v>
      </c>
      <c r="F36" s="61">
        <f>ABS(K21-C18)+ABS(L21-D18)</f>
        <v>97.8</v>
      </c>
      <c r="G36" s="60"/>
      <c r="H36" s="60"/>
      <c r="I36" s="60"/>
      <c r="J36" s="61" t="s">
        <v>68</v>
      </c>
      <c r="K36" s="61">
        <f t="shared" ref="K36:L39" si="0">$M18</f>
        <v>1E-3</v>
      </c>
      <c r="L36" s="61">
        <f t="shared" si="0"/>
        <v>1E-3</v>
      </c>
      <c r="M36" s="61">
        <v>0</v>
      </c>
      <c r="N36" s="61">
        <f>$M18</f>
        <v>1E-3</v>
      </c>
      <c r="O36" s="60"/>
    </row>
    <row r="37" spans="1:15" x14ac:dyDescent="0.25">
      <c r="A37" s="60"/>
      <c r="B37" s="61" t="s">
        <v>73</v>
      </c>
      <c r="C37" s="61">
        <f>ABS(C19-C20)+ABS(D19-D20)</f>
        <v>93</v>
      </c>
      <c r="D37" s="61">
        <f>ABS(K19-C19)+ABS(L19-D19)</f>
        <v>218.59999999999997</v>
      </c>
      <c r="E37" s="61">
        <f>ABS(K20-C19)+ABS(L20-D19)</f>
        <v>133.19999999999999</v>
      </c>
      <c r="F37" s="61">
        <f>ABS(K21-C19)+ABS(L21-D19)</f>
        <v>41</v>
      </c>
      <c r="G37" s="60"/>
      <c r="H37" s="60"/>
      <c r="I37" s="60"/>
      <c r="J37" s="61" t="s">
        <v>66</v>
      </c>
      <c r="K37" s="61">
        <f t="shared" si="0"/>
        <v>1E-3</v>
      </c>
      <c r="L37" s="61">
        <f t="shared" si="0"/>
        <v>1E-3</v>
      </c>
      <c r="M37" s="61">
        <f>$M19</f>
        <v>1E-3</v>
      </c>
      <c r="N37" s="61">
        <f>$M19</f>
        <v>1E-3</v>
      </c>
      <c r="O37" s="60"/>
    </row>
    <row r="38" spans="1:15" x14ac:dyDescent="0.25">
      <c r="A38" s="60"/>
      <c r="B38" s="61" t="s">
        <v>68</v>
      </c>
      <c r="C38" s="61">
        <v>0</v>
      </c>
      <c r="D38" s="61">
        <f>ABS(K19-K18)+ABS(L19-L18)</f>
        <v>311.59999999999997</v>
      </c>
      <c r="E38" s="61">
        <f>ABS(K20-K18)+ABS(L20-L18)</f>
        <v>226.2</v>
      </c>
      <c r="F38" s="61">
        <f>ABS(K21-K18)+ABS(L21-L18)</f>
        <v>134</v>
      </c>
      <c r="G38" s="60"/>
      <c r="H38" s="60"/>
      <c r="I38" s="60"/>
      <c r="J38" s="61" t="s">
        <v>64</v>
      </c>
      <c r="K38" s="61">
        <f t="shared" si="0"/>
        <v>3733.3330000000001</v>
      </c>
      <c r="L38" s="61">
        <f t="shared" si="0"/>
        <v>3733.3330000000001</v>
      </c>
      <c r="M38" s="61">
        <f>$M20</f>
        <v>3733.3330000000001</v>
      </c>
      <c r="N38" s="61">
        <f>$M20</f>
        <v>3733.3330000000001</v>
      </c>
      <c r="O38" s="60"/>
    </row>
    <row r="39" spans="1:15" x14ac:dyDescent="0.25">
      <c r="A39" s="60"/>
      <c r="B39" s="61" t="s">
        <v>96</v>
      </c>
      <c r="C39" s="61">
        <f>ABS(C21-C20)+ABS(D21-D20)</f>
        <v>134</v>
      </c>
      <c r="D39" s="61">
        <f>ABS(K19-K21)+ABS(L19-L21)</f>
        <v>177.59999999999997</v>
      </c>
      <c r="E39" s="61">
        <f>ABS(K20-K21)+ABS(L20-L21)</f>
        <v>92.2</v>
      </c>
      <c r="F39" s="61">
        <v>0</v>
      </c>
      <c r="G39" s="60"/>
      <c r="H39" s="60"/>
      <c r="I39" s="60"/>
      <c r="J39" s="61" t="s">
        <v>96</v>
      </c>
      <c r="K39" s="61">
        <f t="shared" si="0"/>
        <v>4000</v>
      </c>
      <c r="L39" s="61">
        <f t="shared" si="0"/>
        <v>4000</v>
      </c>
      <c r="M39" s="61">
        <f>$M21</f>
        <v>4000</v>
      </c>
      <c r="N39" s="61">
        <v>0</v>
      </c>
      <c r="O39" s="60"/>
    </row>
    <row r="40" spans="1:15" x14ac:dyDescent="0.25">
      <c r="A40" s="60"/>
      <c r="B40" s="60"/>
      <c r="C40" s="60"/>
      <c r="D40" s="60"/>
      <c r="E40" s="60"/>
      <c r="F40" s="60"/>
      <c r="G40" s="60"/>
      <c r="H40" s="60"/>
      <c r="I40" s="60"/>
      <c r="J40" s="61"/>
      <c r="K40" s="61"/>
      <c r="L40" s="61"/>
      <c r="M40" s="61"/>
      <c r="N40" s="61"/>
      <c r="O40" s="60"/>
    </row>
    <row r="41" spans="1:15" x14ac:dyDescent="0.25">
      <c r="A41" s="60"/>
      <c r="B41" s="60"/>
      <c r="C41" s="60"/>
      <c r="D41" s="60"/>
      <c r="E41" s="60"/>
      <c r="F41" s="60"/>
      <c r="G41" s="60"/>
      <c r="H41" s="60"/>
      <c r="I41" s="60"/>
      <c r="J41" s="122" t="s">
        <v>14</v>
      </c>
      <c r="K41" s="122">
        <f>SUM(K36:K39)</f>
        <v>7733.335</v>
      </c>
      <c r="L41" s="122">
        <f t="shared" ref="L41:N41" si="1">SUM(L36:L39)</f>
        <v>7733.335</v>
      </c>
      <c r="M41" s="122">
        <f t="shared" si="1"/>
        <v>7733.3340000000007</v>
      </c>
      <c r="N41" s="122">
        <f t="shared" si="1"/>
        <v>3733.335</v>
      </c>
      <c r="O41" s="60"/>
    </row>
    <row r="42" spans="1:15" x14ac:dyDescent="0.25">
      <c r="A42" s="60"/>
      <c r="B42" s="60"/>
      <c r="C42" s="60"/>
      <c r="D42" s="60"/>
      <c r="E42" s="60"/>
      <c r="F42" s="60"/>
      <c r="G42" s="60"/>
      <c r="H42" s="60"/>
      <c r="I42" s="60"/>
      <c r="J42" s="60"/>
      <c r="K42" s="60"/>
      <c r="L42" s="60"/>
      <c r="M42" s="60"/>
      <c r="N42" s="60"/>
    </row>
    <row r="43" spans="1:15" x14ac:dyDescent="0.25">
      <c r="A43" s="60"/>
      <c r="B43" s="93" t="s">
        <v>110</v>
      </c>
      <c r="C43" s="93"/>
      <c r="D43" s="93"/>
      <c r="E43" s="93" t="s">
        <v>111</v>
      </c>
      <c r="F43" s="93"/>
      <c r="G43" s="93"/>
      <c r="H43" s="93"/>
      <c r="I43" s="93"/>
      <c r="J43" s="93" t="s">
        <v>193</v>
      </c>
      <c r="K43" s="93"/>
      <c r="L43" s="60"/>
      <c r="M43" s="60"/>
      <c r="N43" s="60"/>
    </row>
    <row r="44" spans="1:15" x14ac:dyDescent="0.25">
      <c r="A44" s="64" t="s">
        <v>114</v>
      </c>
      <c r="B44" s="61"/>
      <c r="C44" s="59" t="s">
        <v>115</v>
      </c>
      <c r="D44" s="59"/>
      <c r="E44" s="59" t="s">
        <v>116</v>
      </c>
      <c r="F44" s="61"/>
      <c r="G44" s="61"/>
      <c r="H44" s="59"/>
      <c r="I44" s="61"/>
      <c r="J44" s="59" t="s">
        <v>118</v>
      </c>
      <c r="K44" s="59" t="s">
        <v>8</v>
      </c>
      <c r="L44" s="60"/>
      <c r="M44" s="60"/>
      <c r="N44" s="60"/>
    </row>
    <row r="45" spans="1:15" x14ac:dyDescent="0.25">
      <c r="A45" s="60"/>
      <c r="B45" s="61" t="s">
        <v>70</v>
      </c>
      <c r="C45" s="61">
        <f>MMULT(C36:F36,K36:K39)/K41</f>
        <v>142.31036095035324</v>
      </c>
      <c r="D45" s="61"/>
      <c r="E45" s="61">
        <f>SUMPRODUCT(C45:C48,E18:E21)</f>
        <v>1374564.4198768903</v>
      </c>
      <c r="F45" s="61"/>
      <c r="G45" s="61"/>
      <c r="H45" s="61"/>
      <c r="I45" s="61"/>
      <c r="J45" s="59" t="s">
        <v>26</v>
      </c>
      <c r="K45" s="61" t="s">
        <v>68</v>
      </c>
      <c r="L45" s="61" t="s">
        <v>66</v>
      </c>
      <c r="M45" s="61" t="s">
        <v>64</v>
      </c>
      <c r="N45" s="61" t="s">
        <v>96</v>
      </c>
    </row>
    <row r="46" spans="1:15" x14ac:dyDescent="0.25">
      <c r="A46" s="60"/>
      <c r="B46" s="61" t="s">
        <v>73</v>
      </c>
      <c r="C46" s="61">
        <f>MMULT(C37:F37,L36:L39)/L41</f>
        <v>85.510360950353245</v>
      </c>
      <c r="D46" s="61"/>
      <c r="E46" s="61"/>
      <c r="F46" s="61"/>
      <c r="G46" s="61"/>
      <c r="H46" s="61"/>
      <c r="I46" s="61"/>
      <c r="J46" s="61" t="s">
        <v>70</v>
      </c>
      <c r="K46" s="61">
        <f t="shared" ref="K46:N47" si="2">$E18</f>
        <v>210</v>
      </c>
      <c r="L46" s="61">
        <f t="shared" si="2"/>
        <v>210</v>
      </c>
      <c r="M46" s="61">
        <f t="shared" si="2"/>
        <v>210</v>
      </c>
      <c r="N46" s="61">
        <f t="shared" si="2"/>
        <v>210</v>
      </c>
    </row>
    <row r="47" spans="1:15" x14ac:dyDescent="0.25">
      <c r="A47" s="60"/>
      <c r="B47" s="61" t="s">
        <v>68</v>
      </c>
      <c r="C47" s="61">
        <f>MMULT(C38:F38,M36:M39)/M41</f>
        <v>178.51035998186552</v>
      </c>
      <c r="D47" s="61"/>
      <c r="E47" s="61"/>
      <c r="F47" s="61"/>
      <c r="G47" s="61"/>
      <c r="H47" s="61"/>
      <c r="I47" s="61"/>
      <c r="J47" s="61" t="s">
        <v>73</v>
      </c>
      <c r="K47" s="61">
        <f t="shared" si="2"/>
        <v>645</v>
      </c>
      <c r="L47" s="61">
        <f t="shared" si="2"/>
        <v>645</v>
      </c>
      <c r="M47" s="61">
        <f t="shared" si="2"/>
        <v>645</v>
      </c>
      <c r="N47" s="61">
        <f t="shared" si="2"/>
        <v>645</v>
      </c>
    </row>
    <row r="48" spans="1:15" x14ac:dyDescent="0.25">
      <c r="A48" s="60"/>
      <c r="B48" s="61" t="s">
        <v>96</v>
      </c>
      <c r="C48" s="61">
        <f>MMULT(C39:F39,N36:N39)/N41</f>
        <v>92.20003407141337</v>
      </c>
      <c r="D48" s="61"/>
      <c r="E48" s="61"/>
      <c r="F48" s="61"/>
      <c r="G48" s="61"/>
      <c r="H48" s="61"/>
      <c r="I48" s="61"/>
      <c r="J48" s="61" t="s">
        <v>68</v>
      </c>
      <c r="K48" s="61">
        <f>$J74</f>
        <v>0</v>
      </c>
      <c r="L48" s="61">
        <f>$E20</f>
        <v>3608.3330000000001</v>
      </c>
      <c r="M48" s="61">
        <f>$E20</f>
        <v>3608.3330000000001</v>
      </c>
      <c r="N48" s="61">
        <f>$E20</f>
        <v>3608.3330000000001</v>
      </c>
    </row>
    <row r="49" spans="1:17" x14ac:dyDescent="0.25">
      <c r="A49" s="60"/>
      <c r="B49" s="60"/>
      <c r="C49" s="60"/>
      <c r="D49" s="60"/>
      <c r="E49" s="60"/>
      <c r="F49" s="60"/>
      <c r="G49" s="60"/>
      <c r="H49" s="60"/>
      <c r="I49" s="60"/>
      <c r="J49" s="61" t="s">
        <v>96</v>
      </c>
      <c r="K49" s="61">
        <f>$E21</f>
        <v>7000</v>
      </c>
      <c r="L49" s="61">
        <f>$E21</f>
        <v>7000</v>
      </c>
      <c r="M49" s="61">
        <f>$E21</f>
        <v>7000</v>
      </c>
      <c r="N49" s="61">
        <v>0</v>
      </c>
    </row>
    <row r="50" spans="1:17" x14ac:dyDescent="0.25">
      <c r="A50" s="60"/>
      <c r="B50" s="60"/>
      <c r="C50" s="60"/>
      <c r="D50" s="60"/>
      <c r="E50" s="60"/>
      <c r="F50" s="60"/>
      <c r="G50" s="60"/>
      <c r="H50" s="60"/>
      <c r="I50" s="60"/>
      <c r="J50" s="61"/>
      <c r="K50" s="61"/>
      <c r="L50" s="61"/>
      <c r="M50" s="61"/>
      <c r="N50" s="61"/>
      <c r="P50" s="60"/>
      <c r="Q50" s="60"/>
    </row>
    <row r="51" spans="1:17" x14ac:dyDescent="0.25">
      <c r="A51" s="60"/>
      <c r="B51" s="60"/>
      <c r="C51" s="60"/>
      <c r="D51" s="60"/>
      <c r="E51" s="60"/>
      <c r="F51" s="60"/>
      <c r="G51" s="60"/>
      <c r="H51" s="60"/>
      <c r="I51" s="60"/>
      <c r="J51" s="122" t="s">
        <v>14</v>
      </c>
      <c r="K51" s="122">
        <f>SUM(K46:K49)</f>
        <v>7855</v>
      </c>
      <c r="L51" s="122">
        <f t="shared" ref="L51:N51" si="3">SUM(L46:L49)</f>
        <v>11463.333000000001</v>
      </c>
      <c r="M51" s="122">
        <f t="shared" si="3"/>
        <v>11463.333000000001</v>
      </c>
      <c r="N51" s="122">
        <f t="shared" si="3"/>
        <v>4463.3330000000005</v>
      </c>
      <c r="P51" s="60"/>
      <c r="Q51" s="60"/>
    </row>
    <row r="52" spans="1:17" x14ac:dyDescent="0.25">
      <c r="A52" s="60"/>
      <c r="B52" s="60"/>
      <c r="C52" s="60"/>
      <c r="D52" s="60"/>
      <c r="E52" s="60"/>
      <c r="F52" s="60"/>
      <c r="G52" s="60"/>
      <c r="H52" s="60"/>
      <c r="I52" s="60"/>
      <c r="J52" s="60"/>
      <c r="K52" s="60"/>
      <c r="L52" s="60"/>
      <c r="M52" s="60"/>
      <c r="N52" s="60"/>
      <c r="P52" s="60"/>
      <c r="Q52" s="123"/>
    </row>
    <row r="53" spans="1:17" x14ac:dyDescent="0.25">
      <c r="A53" s="60"/>
      <c r="B53" s="93" t="s">
        <v>194</v>
      </c>
      <c r="C53" s="93"/>
      <c r="D53" s="93"/>
      <c r="E53" s="93" t="s">
        <v>195</v>
      </c>
      <c r="F53" s="93"/>
      <c r="G53" s="93"/>
      <c r="H53" s="93"/>
      <c r="I53" s="93"/>
      <c r="J53" s="124" t="s">
        <v>196</v>
      </c>
      <c r="K53" s="125"/>
      <c r="L53" s="126"/>
      <c r="M53" s="126"/>
      <c r="N53" s="102"/>
      <c r="P53" s="60"/>
      <c r="Q53" s="60"/>
    </row>
    <row r="54" spans="1:17" x14ac:dyDescent="0.25">
      <c r="A54" s="60"/>
      <c r="B54" s="61"/>
      <c r="C54" s="59" t="s">
        <v>122</v>
      </c>
      <c r="D54" s="59"/>
      <c r="E54" s="59" t="s">
        <v>116</v>
      </c>
      <c r="F54" s="59"/>
      <c r="G54" s="59"/>
      <c r="H54" s="59"/>
      <c r="I54" s="60"/>
      <c r="J54" s="113"/>
      <c r="K54" s="38"/>
      <c r="L54" s="38"/>
      <c r="M54" s="38"/>
      <c r="N54" s="39"/>
      <c r="P54" s="60"/>
      <c r="Q54" s="60"/>
    </row>
    <row r="55" spans="1:17" x14ac:dyDescent="0.25">
      <c r="A55" s="60"/>
      <c r="B55" s="61" t="s">
        <v>68</v>
      </c>
      <c r="C55" s="61">
        <f>SUMPRODUCT(K46:K49,C36:C39)/K51</f>
        <v>131.05576066199873</v>
      </c>
      <c r="D55" s="60"/>
      <c r="E55" s="61">
        <f>SUMPRODUCT(C55:C58,M18:M21)</f>
        <v>992413.80012140376</v>
      </c>
      <c r="F55" s="61"/>
      <c r="G55" s="61"/>
      <c r="H55" s="61"/>
      <c r="I55" s="60"/>
      <c r="J55" s="127" t="s">
        <v>135</v>
      </c>
      <c r="K55" s="128" t="s">
        <v>136</v>
      </c>
      <c r="L55" s="38"/>
      <c r="M55" s="38"/>
      <c r="N55" s="39"/>
    </row>
    <row r="56" spans="1:17" x14ac:dyDescent="0.25">
      <c r="A56" s="60"/>
      <c r="B56" s="61" t="s">
        <v>66</v>
      </c>
      <c r="C56" s="61">
        <f>SUMPRODUCT(L46:L49,D36:D39)/L51</f>
        <v>223.87795615812604</v>
      </c>
      <c r="D56" s="60"/>
      <c r="E56" s="61"/>
      <c r="F56" s="61"/>
      <c r="G56" s="61"/>
      <c r="H56" s="61"/>
      <c r="I56" s="60"/>
      <c r="J56" s="129">
        <f>M76</f>
        <v>2.3635255073464301E-2</v>
      </c>
      <c r="K56" s="130">
        <f>J56*E18</f>
        <v>4.9634035654275035</v>
      </c>
      <c r="L56" s="130"/>
      <c r="M56" s="38"/>
      <c r="N56" s="39"/>
    </row>
    <row r="57" spans="1:17" x14ac:dyDescent="0.25">
      <c r="A57" s="60"/>
      <c r="B57" s="61" t="s">
        <v>64</v>
      </c>
      <c r="C57" s="61">
        <f>SUMPRODUCT(M46:M49,E36:E39)/M51</f>
        <v>138.47795615812609</v>
      </c>
      <c r="D57" s="60"/>
      <c r="E57" s="61"/>
      <c r="F57" s="61"/>
      <c r="G57" s="61"/>
      <c r="H57" s="61"/>
      <c r="I57" s="60"/>
      <c r="J57" s="129">
        <f>M76</f>
        <v>2.3635255073464301E-2</v>
      </c>
      <c r="K57" s="130">
        <f>J57*E19</f>
        <v>15.244739522384474</v>
      </c>
      <c r="L57" s="130"/>
      <c r="M57" s="38"/>
      <c r="N57" s="39"/>
    </row>
    <row r="58" spans="1:17" x14ac:dyDescent="0.25">
      <c r="A58" s="60"/>
      <c r="B58" s="61" t="s">
        <v>96</v>
      </c>
      <c r="C58" s="61">
        <f>SUMPRODUCT(N46:N49,F36:F39)/N51</f>
        <v>118.85728042250038</v>
      </c>
      <c r="D58" s="60"/>
      <c r="E58" s="61"/>
      <c r="F58" s="61"/>
      <c r="G58" s="61"/>
      <c r="H58" s="61"/>
      <c r="I58" s="60"/>
      <c r="J58" s="129">
        <f>M75</f>
        <v>2.5569353455904643E-2</v>
      </c>
      <c r="K58" s="130">
        <f>J58*E20</f>
        <v>92.262741863604774</v>
      </c>
      <c r="L58" s="130"/>
      <c r="M58" s="38"/>
      <c r="N58" s="108"/>
    </row>
    <row r="59" spans="1:17" x14ac:dyDescent="0.25">
      <c r="A59" s="60"/>
      <c r="B59" s="60"/>
      <c r="C59" s="60"/>
      <c r="D59" s="60"/>
      <c r="E59" s="60"/>
      <c r="F59" s="60"/>
      <c r="G59" s="60"/>
      <c r="H59" s="60"/>
      <c r="I59" s="60"/>
      <c r="J59" s="129">
        <v>0</v>
      </c>
      <c r="K59" s="130">
        <f>J59*E21</f>
        <v>0</v>
      </c>
      <c r="L59" s="130"/>
      <c r="M59" s="38"/>
      <c r="N59" s="108"/>
    </row>
    <row r="60" spans="1:17" x14ac:dyDescent="0.25">
      <c r="A60" s="60"/>
      <c r="B60" s="93"/>
      <c r="C60" s="93"/>
      <c r="D60" s="93"/>
      <c r="E60" s="93"/>
      <c r="F60" s="93"/>
      <c r="G60" s="93"/>
      <c r="H60" s="60"/>
      <c r="I60" s="60"/>
      <c r="J60" s="129"/>
      <c r="K60" s="130"/>
      <c r="L60" s="130"/>
      <c r="M60" s="38"/>
      <c r="N60" s="108"/>
    </row>
    <row r="61" spans="1:17" x14ac:dyDescent="0.25">
      <c r="A61" s="60"/>
      <c r="B61" s="60"/>
      <c r="C61" s="60"/>
      <c r="D61" s="60"/>
      <c r="E61" s="60"/>
      <c r="F61" s="60"/>
      <c r="G61" s="60"/>
      <c r="H61" s="60"/>
      <c r="I61" s="60"/>
      <c r="J61" s="113"/>
      <c r="K61" s="131">
        <f>SUM(K56:K59)</f>
        <v>112.47088495141675</v>
      </c>
      <c r="L61" s="38"/>
      <c r="M61" s="38"/>
      <c r="N61" s="108"/>
    </row>
    <row r="62" spans="1:17" x14ac:dyDescent="0.25">
      <c r="A62" s="60"/>
      <c r="B62" s="59"/>
      <c r="C62" s="59"/>
      <c r="D62" s="59"/>
      <c r="E62" s="59"/>
      <c r="F62" s="59"/>
      <c r="G62" s="60"/>
      <c r="H62" s="60"/>
      <c r="I62" s="60"/>
      <c r="J62" s="113"/>
      <c r="K62" s="38"/>
      <c r="L62" s="38"/>
      <c r="M62" s="38"/>
      <c r="N62" s="108"/>
    </row>
    <row r="63" spans="1:17" x14ac:dyDescent="0.25">
      <c r="A63" s="60"/>
      <c r="B63" s="61"/>
      <c r="C63" s="61"/>
      <c r="D63" s="61"/>
      <c r="E63" s="61"/>
      <c r="F63" s="61"/>
      <c r="G63" s="61"/>
      <c r="H63" s="60"/>
      <c r="I63" s="60"/>
      <c r="J63" s="113"/>
      <c r="K63" s="38"/>
      <c r="L63" s="38"/>
      <c r="M63" s="38"/>
      <c r="N63" s="108"/>
    </row>
    <row r="64" spans="1:17" x14ac:dyDescent="0.25">
      <c r="A64" s="60"/>
      <c r="B64" s="61"/>
      <c r="C64" s="61"/>
      <c r="D64" s="61"/>
      <c r="E64" s="61"/>
      <c r="F64" s="61"/>
      <c r="G64" s="61"/>
      <c r="H64" s="60"/>
      <c r="I64" s="60"/>
      <c r="J64" s="132" t="s">
        <v>197</v>
      </c>
      <c r="K64" s="68"/>
      <c r="L64" s="38"/>
      <c r="M64" s="38"/>
      <c r="N64" s="108"/>
    </row>
    <row r="65" spans="1:14" x14ac:dyDescent="0.25">
      <c r="A65" s="60"/>
      <c r="B65" s="61"/>
      <c r="C65" s="61"/>
      <c r="D65" s="61"/>
      <c r="E65" s="61"/>
      <c r="F65" s="61"/>
      <c r="G65" s="61"/>
      <c r="H65" s="60"/>
      <c r="I65" s="60"/>
      <c r="J65" s="113"/>
      <c r="K65" s="38"/>
      <c r="L65" s="38"/>
      <c r="M65" s="38"/>
      <c r="N65" s="108"/>
    </row>
    <row r="66" spans="1:14" x14ac:dyDescent="0.25">
      <c r="A66" s="60"/>
      <c r="B66" s="61"/>
      <c r="C66" s="61"/>
      <c r="D66" s="61"/>
      <c r="E66" s="61"/>
      <c r="F66" s="61"/>
      <c r="G66" s="61"/>
      <c r="H66" s="60"/>
      <c r="I66" s="60"/>
      <c r="J66" s="127" t="s">
        <v>149</v>
      </c>
      <c r="K66" s="128" t="s">
        <v>150</v>
      </c>
      <c r="L66" s="38"/>
      <c r="M66" s="38"/>
      <c r="N66" s="108"/>
    </row>
    <row r="67" spans="1:14" x14ac:dyDescent="0.25">
      <c r="A67" s="60"/>
      <c r="B67" s="61"/>
      <c r="C67" s="61"/>
      <c r="D67" s="61"/>
      <c r="E67" s="61"/>
      <c r="F67" s="61"/>
      <c r="G67" s="61"/>
      <c r="H67" s="60"/>
      <c r="I67" s="60"/>
      <c r="J67" s="129">
        <f>M77</f>
        <v>2.3635255073464301E-2</v>
      </c>
      <c r="K67" s="130">
        <f>J67*M18</f>
        <v>2.3635255073464303E-5</v>
      </c>
      <c r="L67" s="130"/>
      <c r="M67" s="38"/>
      <c r="N67" s="108"/>
    </row>
    <row r="68" spans="1:14" x14ac:dyDescent="0.25">
      <c r="A68" s="60"/>
      <c r="B68" s="60"/>
      <c r="C68" s="60"/>
      <c r="D68" s="60"/>
      <c r="E68" s="65"/>
      <c r="F68" s="60"/>
      <c r="G68" s="60"/>
      <c r="H68" s="60"/>
      <c r="I68" s="60"/>
      <c r="J68" s="129">
        <f>M78</f>
        <v>2.9509020749810717E-2</v>
      </c>
      <c r="K68" s="130">
        <f>J68*M19</f>
        <v>2.9509020749810719E-5</v>
      </c>
      <c r="L68" s="130"/>
      <c r="M68" s="38"/>
      <c r="N68" s="108"/>
    </row>
    <row r="69" spans="1:14" x14ac:dyDescent="0.25">
      <c r="A69" s="60"/>
      <c r="B69" s="60"/>
      <c r="C69" s="60"/>
      <c r="D69" s="60"/>
      <c r="E69" s="60"/>
      <c r="F69" s="60"/>
      <c r="G69" s="60"/>
      <c r="H69" s="60"/>
      <c r="I69" s="60"/>
      <c r="J69" s="129">
        <f>M78</f>
        <v>2.9509020749810717E-2</v>
      </c>
      <c r="K69" s="130">
        <f>J69*M20</f>
        <v>110.1670009629531</v>
      </c>
      <c r="L69" s="130"/>
      <c r="M69" s="38"/>
      <c r="N69" s="108"/>
    </row>
    <row r="70" spans="1:14" x14ac:dyDescent="0.25">
      <c r="A70" s="60"/>
      <c r="B70" s="60"/>
      <c r="C70" s="60"/>
      <c r="D70" s="60"/>
      <c r="E70" s="60"/>
      <c r="F70" s="60"/>
      <c r="G70" s="60"/>
      <c r="H70" s="60"/>
      <c r="I70" s="60"/>
      <c r="J70" s="129">
        <v>0</v>
      </c>
      <c r="K70" s="130">
        <f>J70*M21</f>
        <v>0</v>
      </c>
      <c r="L70" s="130"/>
      <c r="M70" s="38"/>
      <c r="N70" s="108"/>
    </row>
    <row r="71" spans="1:14" x14ac:dyDescent="0.25">
      <c r="A71" s="60"/>
      <c r="B71" s="93"/>
      <c r="C71" s="93"/>
      <c r="D71" s="93"/>
      <c r="E71" s="93"/>
      <c r="F71" s="93"/>
      <c r="G71" s="93"/>
      <c r="H71" s="60"/>
      <c r="I71" s="60"/>
      <c r="J71" s="129"/>
      <c r="K71" s="130"/>
      <c r="L71" s="130"/>
      <c r="M71" s="38"/>
      <c r="N71" s="108"/>
    </row>
    <row r="72" spans="1:14" x14ac:dyDescent="0.25">
      <c r="A72" s="60"/>
      <c r="B72" s="60"/>
      <c r="C72" s="60"/>
      <c r="D72" s="60"/>
      <c r="E72" s="60"/>
      <c r="F72" s="60"/>
      <c r="G72" s="60"/>
      <c r="H72" s="60"/>
      <c r="I72" s="60"/>
      <c r="J72" s="113"/>
      <c r="K72" s="131">
        <f>SUM(K67:K70)</f>
        <v>110.16705410722892</v>
      </c>
      <c r="L72" s="38"/>
      <c r="M72" s="38"/>
      <c r="N72" s="108"/>
    </row>
    <row r="73" spans="1:14" x14ac:dyDescent="0.25">
      <c r="A73" s="60"/>
      <c r="B73" s="59"/>
      <c r="C73" s="59"/>
      <c r="D73" s="59"/>
      <c r="E73" s="59"/>
      <c r="F73" s="59"/>
      <c r="G73" s="60"/>
      <c r="H73" s="60"/>
      <c r="I73" s="60"/>
      <c r="J73" s="113"/>
      <c r="K73" s="38"/>
      <c r="L73" s="38"/>
      <c r="M73" s="88"/>
      <c r="N73" s="108"/>
    </row>
    <row r="74" spans="1:14" x14ac:dyDescent="0.25">
      <c r="A74" s="60"/>
      <c r="B74" s="61"/>
      <c r="C74" s="61"/>
      <c r="D74" s="61"/>
      <c r="E74" s="61"/>
      <c r="F74" s="61"/>
      <c r="G74" s="61"/>
      <c r="H74" s="60"/>
      <c r="I74" s="60"/>
      <c r="J74" s="114"/>
      <c r="K74" s="115" t="s">
        <v>30</v>
      </c>
      <c r="L74" s="115"/>
      <c r="M74" s="115" t="s">
        <v>198</v>
      </c>
      <c r="N74" s="116"/>
    </row>
    <row r="75" spans="1:14" x14ac:dyDescent="0.25">
      <c r="A75" s="60"/>
      <c r="B75" s="61"/>
      <c r="C75" s="61"/>
      <c r="D75" s="61"/>
      <c r="E75" s="61"/>
      <c r="F75" s="61"/>
      <c r="G75" s="61"/>
      <c r="H75" s="60"/>
      <c r="I75" s="60"/>
      <c r="J75" s="114" t="s">
        <v>71</v>
      </c>
      <c r="K75" s="115">
        <f>'10. Current tariff method 21'!C20</f>
        <v>25.569353455904643</v>
      </c>
      <c r="L75" s="115"/>
      <c r="M75" s="115">
        <f>K75*10^(-3)</f>
        <v>2.5569353455904643E-2</v>
      </c>
      <c r="N75" s="116"/>
    </row>
    <row r="76" spans="1:14" x14ac:dyDescent="0.25">
      <c r="A76" s="60"/>
      <c r="B76" s="61"/>
      <c r="C76" s="61"/>
      <c r="D76" s="61"/>
      <c r="E76" s="61"/>
      <c r="F76" s="61"/>
      <c r="G76" s="61"/>
      <c r="H76" s="60"/>
      <c r="I76" s="60"/>
      <c r="J76" s="114" t="s">
        <v>201</v>
      </c>
      <c r="K76" s="115">
        <f>'10. Current tariff method 21'!F20</f>
        <v>23.6352550734643</v>
      </c>
      <c r="L76" s="115"/>
      <c r="M76" s="115">
        <f t="shared" ref="M76:M78" si="4">K76*10^(-3)</f>
        <v>2.3635255073464301E-2</v>
      </c>
      <c r="N76" s="116"/>
    </row>
    <row r="77" spans="1:14" x14ac:dyDescent="0.25">
      <c r="A77" s="60"/>
      <c r="B77" s="61"/>
      <c r="C77" s="61"/>
      <c r="D77" s="61"/>
      <c r="E77" s="61"/>
      <c r="F77" s="61"/>
      <c r="G77" s="61"/>
      <c r="H77" s="60"/>
      <c r="I77" s="60"/>
      <c r="J77" s="114" t="s">
        <v>67</v>
      </c>
      <c r="K77" s="115">
        <f>'10. Current tariff method 21'!F20</f>
        <v>23.6352550734643</v>
      </c>
      <c r="L77" s="115"/>
      <c r="M77" s="115">
        <f t="shared" si="4"/>
        <v>2.3635255073464301E-2</v>
      </c>
      <c r="N77" s="116"/>
    </row>
    <row r="78" spans="1:14" x14ac:dyDescent="0.25">
      <c r="A78" s="60"/>
      <c r="B78" s="61"/>
      <c r="C78" s="61"/>
      <c r="D78" s="61"/>
      <c r="E78" s="61"/>
      <c r="F78" s="61"/>
      <c r="G78" s="61"/>
      <c r="H78" s="60"/>
      <c r="I78" s="60"/>
      <c r="J78" s="117" t="s">
        <v>202</v>
      </c>
      <c r="K78" s="118">
        <f>'10. Current tariff method 21'!D20</f>
        <v>29.509020749810716</v>
      </c>
      <c r="L78" s="118"/>
      <c r="M78" s="118">
        <f t="shared" si="4"/>
        <v>2.9509020749810717E-2</v>
      </c>
      <c r="N78" s="119"/>
    </row>
    <row r="79" spans="1:14" x14ac:dyDescent="0.25">
      <c r="A79" s="60"/>
      <c r="B79" s="60"/>
      <c r="C79" s="60"/>
      <c r="D79" s="60"/>
      <c r="E79" s="65"/>
      <c r="F79" s="60"/>
      <c r="G79" s="60"/>
      <c r="H79" s="60"/>
      <c r="I79" s="60"/>
      <c r="J79" s="60"/>
      <c r="K79" s="60"/>
      <c r="L79" s="65"/>
      <c r="M79" s="60"/>
      <c r="N79" s="60"/>
    </row>
    <row r="80" spans="1:14" x14ac:dyDescent="0.25">
      <c r="A80" s="60"/>
      <c r="B80" s="60"/>
      <c r="C80" s="60"/>
      <c r="D80" s="60"/>
      <c r="E80" s="60"/>
      <c r="F80" s="60"/>
      <c r="G80" s="60"/>
      <c r="H80" s="60"/>
      <c r="I80" s="60"/>
      <c r="J80" s="60"/>
      <c r="K80" s="60"/>
      <c r="L80" s="60"/>
      <c r="M80" s="60"/>
      <c r="N80" s="60"/>
    </row>
    <row r="81" spans="1:12" ht="18.75" x14ac:dyDescent="0.3">
      <c r="A81" s="58" t="s">
        <v>151</v>
      </c>
    </row>
    <row r="83" spans="1:12" x14ac:dyDescent="0.25">
      <c r="B83" s="68" t="s">
        <v>152</v>
      </c>
      <c r="J83" s="68" t="s">
        <v>153</v>
      </c>
    </row>
    <row r="84" spans="1:12" x14ac:dyDescent="0.25">
      <c r="B84" s="69" t="s">
        <v>154</v>
      </c>
      <c r="C84" s="69" t="s">
        <v>155</v>
      </c>
      <c r="D84" s="69" t="s">
        <v>156</v>
      </c>
      <c r="E84" s="69" t="s">
        <v>156</v>
      </c>
      <c r="F84" s="69" t="s">
        <v>155</v>
      </c>
      <c r="G84" s="74"/>
      <c r="J84" s="75" t="s">
        <v>157</v>
      </c>
      <c r="K84" s="75"/>
      <c r="L84" s="75"/>
    </row>
    <row r="85" spans="1:12" x14ac:dyDescent="0.25">
      <c r="B85" s="62"/>
      <c r="C85" s="62" t="s">
        <v>64</v>
      </c>
      <c r="D85" s="62" t="s">
        <v>68</v>
      </c>
      <c r="E85" s="62" t="s">
        <v>66</v>
      </c>
      <c r="F85" s="62" t="s">
        <v>96</v>
      </c>
      <c r="G85" s="74"/>
      <c r="J85" s="74"/>
      <c r="K85" s="69" t="s">
        <v>158</v>
      </c>
      <c r="L85" s="69" t="s">
        <v>159</v>
      </c>
    </row>
    <row r="86" spans="1:12" x14ac:dyDescent="0.25">
      <c r="B86" s="69" t="s">
        <v>160</v>
      </c>
      <c r="C86" s="62">
        <f>M20</f>
        <v>3733.3330000000001</v>
      </c>
      <c r="D86" s="62">
        <f>M18</f>
        <v>1E-3</v>
      </c>
      <c r="E86" s="62">
        <f>M19</f>
        <v>1E-3</v>
      </c>
      <c r="F86" s="62">
        <f>M21</f>
        <v>4000</v>
      </c>
      <c r="G86" s="74"/>
      <c r="J86" s="76" t="s">
        <v>70</v>
      </c>
      <c r="K86" s="62">
        <f>(K38*E36+K39*F36)/SUM(K38,K39)</f>
        <v>142.31034277199751</v>
      </c>
      <c r="L86" s="62">
        <f>(K36*C36+K37*D36)/SUM(K36,K37)</f>
        <v>212.6</v>
      </c>
    </row>
    <row r="87" spans="1:12" x14ac:dyDescent="0.25">
      <c r="B87" s="69" t="s">
        <v>161</v>
      </c>
      <c r="C87" s="62">
        <f>C86*C57</f>
        <v>516984.32349768537</v>
      </c>
      <c r="D87" s="62">
        <f>D86*C55</f>
        <v>0.13105576066199873</v>
      </c>
      <c r="E87" s="62">
        <f>E86*C56</f>
        <v>0.22387795615812606</v>
      </c>
      <c r="F87" s="62">
        <f>F86*C58</f>
        <v>475429.12169000151</v>
      </c>
      <c r="G87" s="74"/>
      <c r="J87" s="76" t="s">
        <v>73</v>
      </c>
      <c r="K87" s="62">
        <f>(L38*E37+L39*F37)/SUM(L38,L39)</f>
        <v>85.510342771997529</v>
      </c>
      <c r="L87" s="62">
        <f>(L36*C37+L37*D37)/SUM(L36,L37)</f>
        <v>155.79999999999998</v>
      </c>
    </row>
    <row r="88" spans="1:12" x14ac:dyDescent="0.25">
      <c r="J88" s="76" t="s">
        <v>68</v>
      </c>
      <c r="K88" s="62">
        <f>(M38*E38+M39*F38)/SUM(M38,M39)</f>
        <v>178.51034277199753</v>
      </c>
      <c r="L88" s="62">
        <f>(M36*C38+M37*D38)/SUM(M36,M37)</f>
        <v>311.59999999999997</v>
      </c>
    </row>
    <row r="89" spans="1:12" x14ac:dyDescent="0.25">
      <c r="C89" s="62" t="s">
        <v>162</v>
      </c>
      <c r="J89" s="76" t="s">
        <v>96</v>
      </c>
      <c r="K89" s="62">
        <f>(N38*E39+N39*F39)/SUM(N38,N39)</f>
        <v>92.2</v>
      </c>
      <c r="L89" s="62">
        <f>(N36*C39+N37*D39)/SUM(N36,N37)</f>
        <v>155.79999999999998</v>
      </c>
    </row>
    <row r="90" spans="1:12" x14ac:dyDescent="0.25">
      <c r="B90" s="68" t="s">
        <v>163</v>
      </c>
      <c r="J90" s="68" t="s">
        <v>164</v>
      </c>
      <c r="K90" s="62"/>
      <c r="L90" s="62"/>
    </row>
    <row r="91" spans="1:12" ht="45.75" x14ac:dyDescent="0.25">
      <c r="C91" s="76" t="s">
        <v>165</v>
      </c>
      <c r="D91" s="76" t="s">
        <v>166</v>
      </c>
      <c r="E91" s="76" t="s">
        <v>167</v>
      </c>
      <c r="F91" s="76" t="s">
        <v>168</v>
      </c>
      <c r="G91" s="76" t="s">
        <v>169</v>
      </c>
      <c r="J91" s="76" t="s">
        <v>170</v>
      </c>
      <c r="K91" s="62">
        <f>SUMPRODUCT(C92:C95,J56:J59)</f>
        <v>1.9622719666508291E-5</v>
      </c>
      <c r="L91" s="62"/>
    </row>
    <row r="92" spans="1:12" ht="23.25" x14ac:dyDescent="0.25">
      <c r="B92" s="76" t="s">
        <v>70</v>
      </c>
      <c r="C92" s="62">
        <f>SUM($D$86:$E$86)/SUM($E$18:$E$21)*E18</f>
        <v>3.6638558785651611E-5</v>
      </c>
      <c r="D92" s="62" t="s">
        <v>171</v>
      </c>
      <c r="E92" s="62">
        <f>E18-C92</f>
        <v>209.99996336144122</v>
      </c>
      <c r="F92" s="62">
        <f>C92*L86</f>
        <v>7.7893575978295326E-3</v>
      </c>
      <c r="G92" s="62">
        <f>E92*K86</f>
        <v>29885.166768073617</v>
      </c>
      <c r="J92" s="76" t="s">
        <v>172</v>
      </c>
      <c r="K92" s="62">
        <f>K61-K91</f>
        <v>112.47086532869709</v>
      </c>
      <c r="L92" s="62"/>
    </row>
    <row r="93" spans="1:12" ht="23.25" x14ac:dyDescent="0.25">
      <c r="B93" s="76" t="s">
        <v>73</v>
      </c>
      <c r="C93" s="62">
        <f>SUM($D$86:$E$86)/SUM($E$18:$E$21)*E19</f>
        <v>1.1253271627021565E-4</v>
      </c>
      <c r="D93" s="62" t="s">
        <v>171</v>
      </c>
      <c r="E93" s="62">
        <f>E19-C93</f>
        <v>644.99988746728377</v>
      </c>
      <c r="F93" s="62">
        <f>C93*L87</f>
        <v>1.7532597194899597E-2</v>
      </c>
      <c r="G93" s="62">
        <f>E93*K87</f>
        <v>55154.161465227269</v>
      </c>
      <c r="J93" s="76" t="s">
        <v>173</v>
      </c>
      <c r="K93" s="62">
        <f>D86*J67+E86*J68</f>
        <v>5.3144275823275019E-5</v>
      </c>
      <c r="L93" s="62"/>
    </row>
    <row r="94" spans="1:12" x14ac:dyDescent="0.25">
      <c r="B94" s="76" t="s">
        <v>68</v>
      </c>
      <c r="C94" s="62">
        <f>SUM($D$86:$E$86)/SUM($E$18:$E$21)*E20</f>
        <v>6.2954343208907913E-4</v>
      </c>
      <c r="D94" s="62" t="s">
        <v>171</v>
      </c>
      <c r="E94" s="62">
        <f>E20-C94</f>
        <v>3608.3323704565678</v>
      </c>
      <c r="F94" s="62">
        <f>C94*L88</f>
        <v>0.19616573343895705</v>
      </c>
      <c r="G94" s="62">
        <f>E94*K88</f>
        <v>644124.64828549628</v>
      </c>
      <c r="J94" s="76" t="s">
        <v>174</v>
      </c>
      <c r="K94" s="62">
        <f>K72-K93</f>
        <v>110.1670009629531</v>
      </c>
      <c r="L94" s="62"/>
    </row>
    <row r="95" spans="1:12" x14ac:dyDescent="0.25">
      <c r="B95" s="76" t="s">
        <v>96</v>
      </c>
      <c r="C95" s="62">
        <f>SUM($D$86:$E$86)/SUM($E$18:$E$21)*E21</f>
        <v>1.2212852928550537E-3</v>
      </c>
      <c r="D95" s="62" t="s">
        <v>171</v>
      </c>
      <c r="E95" s="62">
        <f>E21-C95</f>
        <v>6999.9987787147074</v>
      </c>
      <c r="F95" s="62">
        <f>C95*L89</f>
        <v>0.19027624862681736</v>
      </c>
      <c r="G95" s="62">
        <f>E95*K89</f>
        <v>645399.88739749603</v>
      </c>
      <c r="H95" s="69"/>
      <c r="J95" s="76" t="s">
        <v>175</v>
      </c>
      <c r="K95" s="62">
        <f>K92+K94</f>
        <v>222.6378662916502</v>
      </c>
      <c r="L95" s="62"/>
    </row>
    <row r="96" spans="1:12" x14ac:dyDescent="0.25">
      <c r="B96" s="76"/>
      <c r="C96" s="62"/>
      <c r="D96" s="62"/>
      <c r="E96" s="62"/>
      <c r="F96" s="62"/>
      <c r="G96" s="62"/>
      <c r="J96" s="76" t="s">
        <v>176</v>
      </c>
      <c r="K96" s="62">
        <f>K91+K93</f>
        <v>7.2766995489783313E-5</v>
      </c>
      <c r="L96" s="62"/>
    </row>
    <row r="97" spans="2:12" x14ac:dyDescent="0.25">
      <c r="B97" s="76" t="s">
        <v>177</v>
      </c>
      <c r="C97" s="62">
        <f>SUM(C92:C95)</f>
        <v>2E-3</v>
      </c>
      <c r="D97" s="62"/>
      <c r="E97" s="62">
        <f>SUM(E92:E95)</f>
        <v>11463.331</v>
      </c>
      <c r="F97" s="62">
        <f>SUM(F92:F95)</f>
        <v>0.41176393685850354</v>
      </c>
      <c r="G97" s="62">
        <f>SUM(G92:G95)</f>
        <v>1374563.8639162933</v>
      </c>
    </row>
    <row r="98" spans="2:12" x14ac:dyDescent="0.25">
      <c r="B98" s="76"/>
      <c r="C98" s="62"/>
      <c r="D98" s="62"/>
      <c r="E98" s="62"/>
      <c r="F98" s="62"/>
      <c r="G98" s="62"/>
    </row>
    <row r="99" spans="2:12" ht="23.25" x14ac:dyDescent="0.25">
      <c r="B99" s="76" t="s">
        <v>178</v>
      </c>
      <c r="C99" s="62">
        <f>SUM(D86:E86)</f>
        <v>2E-3</v>
      </c>
      <c r="D99" s="62"/>
      <c r="E99" s="62"/>
      <c r="F99" s="62"/>
      <c r="G99" s="62"/>
    </row>
    <row r="100" spans="2:12" x14ac:dyDescent="0.25">
      <c r="B100" s="76"/>
    </row>
    <row r="101" spans="2:12" x14ac:dyDescent="0.25">
      <c r="B101" s="76"/>
    </row>
    <row r="102" spans="2:12" x14ac:dyDescent="0.25">
      <c r="B102" s="68" t="s">
        <v>179</v>
      </c>
      <c r="J102" s="68" t="s">
        <v>180</v>
      </c>
    </row>
    <row r="103" spans="2:12" ht="34.5" x14ac:dyDescent="0.25">
      <c r="B103" s="76" t="s">
        <v>169</v>
      </c>
      <c r="C103" s="78"/>
      <c r="D103" s="62">
        <f>G97</f>
        <v>1374563.8639162933</v>
      </c>
      <c r="E103" s="62"/>
      <c r="J103" s="79" t="s">
        <v>181</v>
      </c>
      <c r="K103" s="80"/>
      <c r="L103" s="81"/>
    </row>
    <row r="104" spans="2:12" ht="34.5" x14ac:dyDescent="0.25">
      <c r="B104" s="76" t="s">
        <v>182</v>
      </c>
      <c r="C104" s="78"/>
      <c r="D104" s="62">
        <f>C87+F87</f>
        <v>992413.44518768694</v>
      </c>
      <c r="E104" s="62"/>
      <c r="J104" s="82" t="s">
        <v>183</v>
      </c>
      <c r="K104" s="83">
        <f>K95*10^6/D105</f>
        <v>94.059991802764614</v>
      </c>
      <c r="L104" s="84" t="s">
        <v>184</v>
      </c>
    </row>
    <row r="105" spans="2:12" ht="23.25" x14ac:dyDescent="0.25">
      <c r="B105" s="76" t="s">
        <v>185</v>
      </c>
      <c r="C105" s="78"/>
      <c r="D105" s="62">
        <f>SUM(D103:D104)</f>
        <v>2366977.3091039802</v>
      </c>
      <c r="E105" s="62"/>
      <c r="J105" s="82" t="s">
        <v>186</v>
      </c>
      <c r="K105" s="83">
        <f>K96*10^6/D108</f>
        <v>94.909636335322062</v>
      </c>
      <c r="L105" s="84" t="s">
        <v>187</v>
      </c>
    </row>
    <row r="106" spans="2:12" ht="34.5" x14ac:dyDescent="0.25">
      <c r="B106" s="76" t="s">
        <v>188</v>
      </c>
      <c r="C106" s="78"/>
      <c r="D106" s="62">
        <f>F97</f>
        <v>0.41176393685850354</v>
      </c>
      <c r="E106" s="62"/>
      <c r="J106" s="82" t="s">
        <v>189</v>
      </c>
      <c r="K106" s="85">
        <f>2*(ABS(K104-K105))/(K104+K105)</f>
        <v>8.9923924911000375E-3</v>
      </c>
      <c r="L106" s="84" t="s">
        <v>190</v>
      </c>
    </row>
    <row r="107" spans="2:12" ht="34.5" x14ac:dyDescent="0.25">
      <c r="B107" s="76" t="s">
        <v>191</v>
      </c>
      <c r="C107" s="78"/>
      <c r="D107" s="62">
        <f>SUM(D87:E87)</f>
        <v>0.35493371682012476</v>
      </c>
      <c r="E107" s="62"/>
    </row>
    <row r="108" spans="2:12" ht="34.5" x14ac:dyDescent="0.25">
      <c r="B108" s="76" t="s">
        <v>192</v>
      </c>
      <c r="C108" s="78"/>
      <c r="D108" s="62">
        <f>SUM(D106:D107)</f>
        <v>0.7666976536786283</v>
      </c>
      <c r="E108" s="62"/>
    </row>
    <row r="109" spans="2:12" x14ac:dyDescent="0.25">
      <c r="D109" s="62"/>
      <c r="E109" s="62"/>
    </row>
    <row r="110" spans="2:12" x14ac:dyDescent="0.25">
      <c r="D110" s="62"/>
      <c r="E110" s="62"/>
    </row>
    <row r="115" spans="5:5" x14ac:dyDescent="0.25">
      <c r="E115" s="62"/>
    </row>
  </sheetData>
  <conditionalFormatting sqref="K106">
    <cfRule type="cellIs" dxfId="33" priority="1" operator="lessThan">
      <formula>0.1</formula>
    </cfRule>
    <cfRule type="cellIs" dxfId="32" priority="2" operator="greaterThan">
      <formula>0.1</formula>
    </cfRule>
  </conditionalFormatting>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00"/>
  </sheetPr>
  <dimension ref="A1:N47"/>
  <sheetViews>
    <sheetView workbookViewId="0">
      <selection activeCell="L12" sqref="L12"/>
    </sheetView>
  </sheetViews>
  <sheetFormatPr defaultColWidth="9.140625" defaultRowHeight="15" x14ac:dyDescent="0.25"/>
  <cols>
    <col min="1" max="1" width="14.5703125" style="53" customWidth="1"/>
    <col min="2" max="2" width="11.42578125" style="53" customWidth="1"/>
    <col min="3" max="3" width="12" style="53" customWidth="1"/>
    <col min="4" max="4" width="12.5703125" style="53" customWidth="1"/>
    <col min="5" max="5" width="12.42578125" style="53" customWidth="1"/>
    <col min="6" max="6" width="13.5703125" style="53" customWidth="1"/>
    <col min="7" max="7" width="9.140625" style="53"/>
    <col min="8" max="8" width="17.42578125" style="53" customWidth="1"/>
    <col min="9" max="9" width="15.42578125" style="53" customWidth="1"/>
    <col min="10" max="10" width="10.5703125" style="53" customWidth="1"/>
    <col min="11" max="11" width="29.42578125" style="53" customWidth="1"/>
    <col min="12" max="16384" width="9.140625" style="53"/>
  </cols>
  <sheetData>
    <row r="1" spans="1:14" ht="15.75" thickBot="1" x14ac:dyDescent="0.3">
      <c r="C1" s="137">
        <f>C4/$B$4</f>
        <v>3.1346279291454456E-2</v>
      </c>
      <c r="D1" s="137">
        <f>D4/$B$4</f>
        <v>9.849502380526784E-2</v>
      </c>
      <c r="E1" s="137">
        <f>E4/$B$4</f>
        <v>0.38306081706287171</v>
      </c>
      <c r="F1" s="137">
        <f>F4/$B$4</f>
        <v>0.48709787984040598</v>
      </c>
    </row>
    <row r="2" spans="1:14" ht="45.75" thickBot="1" x14ac:dyDescent="0.3">
      <c r="A2" s="138" t="s">
        <v>217</v>
      </c>
      <c r="B2" s="139" t="s">
        <v>218</v>
      </c>
      <c r="C2" s="140" t="s">
        <v>219</v>
      </c>
      <c r="D2" s="141" t="s">
        <v>220</v>
      </c>
      <c r="E2" s="141" t="s">
        <v>221</v>
      </c>
      <c r="F2" s="142" t="s">
        <v>222</v>
      </c>
      <c r="H2" s="143" t="s">
        <v>223</v>
      </c>
      <c r="I2" s="278" t="s">
        <v>32</v>
      </c>
      <c r="K2" s="143" t="s">
        <v>224</v>
      </c>
      <c r="L2" s="144">
        <v>2020</v>
      </c>
    </row>
    <row r="3" spans="1:14" x14ac:dyDescent="0.25">
      <c r="A3" s="145" t="s">
        <v>225</v>
      </c>
      <c r="B3" s="146">
        <f>L8</f>
        <v>95.41625959656244</v>
      </c>
      <c r="C3" s="147"/>
      <c r="D3" s="147"/>
      <c r="E3" s="147"/>
      <c r="F3" s="148">
        <f>B3</f>
        <v>95.41625959656244</v>
      </c>
      <c r="H3" s="149" t="s">
        <v>226</v>
      </c>
      <c r="I3" s="150">
        <f>'Forecasted Capacities'!C3</f>
        <v>32801.983742960401</v>
      </c>
      <c r="K3" s="220" t="s">
        <v>14</v>
      </c>
      <c r="L3" s="221">
        <f>Costbase!C30</f>
        <v>318.0541986552081</v>
      </c>
    </row>
    <row r="4" spans="1:14" x14ac:dyDescent="0.25">
      <c r="A4" s="153" t="s">
        <v>227</v>
      </c>
      <c r="B4" s="154">
        <f>L5</f>
        <v>222.63793905864566</v>
      </c>
      <c r="C4" s="155">
        <f>(1/3)*L13</f>
        <v>6.9788710186061227</v>
      </c>
      <c r="D4" s="155">
        <f>((1/3)*L13)+(L14*(2/3))</f>
        <v>21.928729107537073</v>
      </c>
      <c r="E4" s="155">
        <f>(I13/(I11+I15))*(B4-C4-D4)</f>
        <v>85.283870844998646</v>
      </c>
      <c r="F4" s="156">
        <f>B4-C4-D4-E4</f>
        <v>108.44646808750382</v>
      </c>
      <c r="H4" s="149" t="s">
        <v>228</v>
      </c>
      <c r="I4" s="150">
        <f>'Forecasted Capacities'!C4</f>
        <v>1</v>
      </c>
      <c r="K4" s="151"/>
      <c r="L4" s="152"/>
    </row>
    <row r="5" spans="1:14" ht="15.75" thickBot="1" x14ac:dyDescent="0.3">
      <c r="A5" s="153" t="s">
        <v>230</v>
      </c>
      <c r="B5" s="154"/>
      <c r="C5" s="158"/>
      <c r="D5" s="158"/>
      <c r="E5" s="158"/>
      <c r="F5" s="156"/>
      <c r="H5" s="159" t="s">
        <v>231</v>
      </c>
      <c r="I5" s="150">
        <f>'Forecasted Capacities'!C5</f>
        <v>1</v>
      </c>
      <c r="K5" s="151" t="s">
        <v>16</v>
      </c>
      <c r="L5" s="152">
        <f>Costbase!C31</f>
        <v>222.63793905864566</v>
      </c>
      <c r="N5" s="222" t="s">
        <v>259</v>
      </c>
    </row>
    <row r="6" spans="1:14" ht="16.5" thickTop="1" thickBot="1" x14ac:dyDescent="0.3">
      <c r="A6" s="161" t="s">
        <v>218</v>
      </c>
      <c r="B6" s="162">
        <f>SUM(B3:B4)</f>
        <v>318.0541986552081</v>
      </c>
      <c r="C6" s="162">
        <f>SUM(C3:C5)</f>
        <v>6.9788710186061227</v>
      </c>
      <c r="D6" s="162">
        <f>SUM(D3:D4)</f>
        <v>21.928729107537073</v>
      </c>
      <c r="E6" s="162">
        <f>SUM(E3:E4)</f>
        <v>85.283870844998646</v>
      </c>
      <c r="F6" s="163">
        <f>SUM(F3:F5)</f>
        <v>203.86272768406627</v>
      </c>
      <c r="H6" s="164" t="s">
        <v>233</v>
      </c>
      <c r="I6" s="165">
        <f>SUM(I3:I5)</f>
        <v>32803.983742960401</v>
      </c>
      <c r="K6" s="157" t="s">
        <v>229</v>
      </c>
      <c r="L6" s="152">
        <v>43.361400189214798</v>
      </c>
    </row>
    <row r="7" spans="1:14" ht="15.75" thickTop="1" x14ac:dyDescent="0.25">
      <c r="A7" s="223" t="s">
        <v>234</v>
      </c>
      <c r="B7" s="224"/>
      <c r="C7" s="225"/>
      <c r="D7" s="225"/>
      <c r="E7" s="225"/>
      <c r="F7" s="226"/>
      <c r="H7" s="169" t="s">
        <v>235</v>
      </c>
      <c r="I7" s="170"/>
      <c r="K7" s="157" t="s">
        <v>232</v>
      </c>
      <c r="L7" s="160">
        <f>L6/L5</f>
        <v>0.19476195464508345</v>
      </c>
    </row>
    <row r="8" spans="1:14" x14ac:dyDescent="0.25">
      <c r="A8" s="223" t="s">
        <v>237</v>
      </c>
      <c r="B8" s="224"/>
      <c r="C8" s="227"/>
      <c r="D8" s="227"/>
      <c r="E8" s="227"/>
      <c r="F8" s="227"/>
      <c r="H8" s="149" t="s">
        <v>63</v>
      </c>
      <c r="I8" s="150">
        <f>'Forecasted Capacities'!C11</f>
        <v>3733333</v>
      </c>
      <c r="K8" s="151" t="s">
        <v>15</v>
      </c>
      <c r="L8" s="152">
        <f>Costbase!C32</f>
        <v>95.41625959656244</v>
      </c>
    </row>
    <row r="9" spans="1:14" x14ac:dyDescent="0.25">
      <c r="A9" s="228" t="s">
        <v>238</v>
      </c>
      <c r="B9" s="224"/>
      <c r="C9" s="227"/>
      <c r="D9" s="227"/>
      <c r="E9" s="227"/>
      <c r="F9" s="226"/>
      <c r="H9" s="149" t="s">
        <v>65</v>
      </c>
      <c r="I9" s="150">
        <f>'Forecasted Capacities'!C12</f>
        <v>1</v>
      </c>
      <c r="K9" s="151" t="s">
        <v>236</v>
      </c>
      <c r="L9" s="160">
        <f>L5/L3</f>
        <v>0.7</v>
      </c>
    </row>
    <row r="10" spans="1:14" ht="15.75" thickBot="1" x14ac:dyDescent="0.3">
      <c r="A10" s="173" t="s">
        <v>240</v>
      </c>
      <c r="B10" s="174">
        <f>SUM(B7:B9)</f>
        <v>0</v>
      </c>
      <c r="C10" s="174">
        <f t="shared" ref="C10:F10" si="0">SUM(C7:C9)</f>
        <v>0</v>
      </c>
      <c r="D10" s="174">
        <f t="shared" si="0"/>
        <v>0</v>
      </c>
      <c r="E10" s="174">
        <f>SUM(E7:E9)</f>
        <v>0</v>
      </c>
      <c r="F10" s="175">
        <f t="shared" si="0"/>
        <v>0</v>
      </c>
      <c r="H10" s="159" t="s">
        <v>67</v>
      </c>
      <c r="I10" s="150">
        <f>'Forecasted Capacities'!C13</f>
        <v>1</v>
      </c>
      <c r="K10" s="151"/>
      <c r="L10" s="152"/>
    </row>
    <row r="11" spans="1:14" ht="16.5" thickTop="1" thickBot="1" x14ac:dyDescent="0.3">
      <c r="A11" s="178"/>
      <c r="B11" s="179"/>
      <c r="C11" s="180"/>
      <c r="D11" s="180"/>
      <c r="E11" s="180"/>
      <c r="F11" s="181"/>
      <c r="H11" s="164" t="s">
        <v>242</v>
      </c>
      <c r="I11" s="165">
        <f>SUM(I8:I10)</f>
        <v>3733335</v>
      </c>
      <c r="K11" s="151" t="s">
        <v>239</v>
      </c>
      <c r="L11" s="160">
        <v>0.48283987519909233</v>
      </c>
    </row>
    <row r="12" spans="1:14" ht="15.75" thickTop="1" x14ac:dyDescent="0.25">
      <c r="A12" s="173" t="s">
        <v>244</v>
      </c>
      <c r="B12" s="183" t="s">
        <v>218</v>
      </c>
      <c r="C12" s="184" t="s">
        <v>243</v>
      </c>
      <c r="D12" s="184" t="s">
        <v>245</v>
      </c>
      <c r="E12" s="184"/>
      <c r="F12" s="185" t="s">
        <v>246</v>
      </c>
      <c r="H12" s="186" t="s">
        <v>247</v>
      </c>
      <c r="I12" s="150">
        <f>'Forecasted Capacities'!C16</f>
        <v>210000</v>
      </c>
      <c r="K12" s="176" t="s">
        <v>241</v>
      </c>
      <c r="L12" s="177">
        <f>1-L11</f>
        <v>0.51716012480090767</v>
      </c>
    </row>
    <row r="13" spans="1:14" x14ac:dyDescent="0.25">
      <c r="A13" s="153" t="s">
        <v>225</v>
      </c>
      <c r="B13" s="167">
        <f>B3-B7+F5</f>
        <v>95.41625959656244</v>
      </c>
      <c r="C13" s="171"/>
      <c r="D13" s="171"/>
      <c r="E13" s="171"/>
      <c r="F13" s="156">
        <f>F3+F5</f>
        <v>95.41625959656244</v>
      </c>
      <c r="H13" s="159" t="s">
        <v>71</v>
      </c>
      <c r="I13" s="150">
        <f>'Forecasted Capacities'!C17</f>
        <v>3608333</v>
      </c>
      <c r="J13" s="150"/>
      <c r="K13" s="176" t="s">
        <v>243</v>
      </c>
      <c r="L13" s="182">
        <f>L6*L11</f>
        <v>20.93661305581837</v>
      </c>
    </row>
    <row r="14" spans="1:14" ht="15.75" thickBot="1" x14ac:dyDescent="0.3">
      <c r="A14" s="153" t="s">
        <v>227</v>
      </c>
      <c r="B14" s="189">
        <f>B4-B8</f>
        <v>222.63793905864566</v>
      </c>
      <c r="C14" s="189">
        <f>C6-C10</f>
        <v>6.9788710186061227</v>
      </c>
      <c r="D14" s="189">
        <f>D4-D10</f>
        <v>21.928729107537073</v>
      </c>
      <c r="E14" s="189">
        <f>E4-E10</f>
        <v>85.283870844998646</v>
      </c>
      <c r="F14" s="189">
        <f>F4-F8-F9</f>
        <v>108.44646808750382</v>
      </c>
      <c r="H14" s="159" t="s">
        <v>72</v>
      </c>
      <c r="I14" s="150">
        <f>'Forecasted Capacities'!C18</f>
        <v>645000</v>
      </c>
      <c r="K14" s="187" t="s">
        <v>245</v>
      </c>
      <c r="L14" s="188">
        <f>L12*L6</f>
        <v>22.424787133396428</v>
      </c>
    </row>
    <row r="15" spans="1:14" ht="16.5" thickTop="1" thickBot="1" x14ac:dyDescent="0.3">
      <c r="A15" s="190" t="s">
        <v>218</v>
      </c>
      <c r="B15" s="191">
        <f>SUM(B13:B14)</f>
        <v>318.0541986552081</v>
      </c>
      <c r="C15" s="191">
        <f t="shared" ref="C15:E15" si="1">SUM(C13:C14)</f>
        <v>6.9788710186061227</v>
      </c>
      <c r="D15" s="191">
        <f t="shared" si="1"/>
        <v>21.928729107537073</v>
      </c>
      <c r="E15" s="191">
        <f t="shared" si="1"/>
        <v>85.283870844998646</v>
      </c>
      <c r="F15" s="192">
        <f>SUM(F13:F14)</f>
        <v>203.86272768406627</v>
      </c>
      <c r="H15" s="193" t="s">
        <v>248</v>
      </c>
      <c r="I15" s="194">
        <f>SUM(I12:I14)</f>
        <v>4463333</v>
      </c>
    </row>
    <row r="16" spans="1:14" ht="15.75" thickBot="1" x14ac:dyDescent="0.3"/>
    <row r="17" spans="1:12" ht="15.75" thickBot="1" x14ac:dyDescent="0.3">
      <c r="H17" s="143" t="s">
        <v>249</v>
      </c>
      <c r="I17" s="144">
        <v>2019</v>
      </c>
    </row>
    <row r="18" spans="1:12" ht="34.5" thickBot="1" x14ac:dyDescent="0.3">
      <c r="A18" s="138" t="s">
        <v>250</v>
      </c>
      <c r="B18" s="195" t="s">
        <v>199</v>
      </c>
      <c r="C18" s="196" t="s">
        <v>29</v>
      </c>
      <c r="D18" s="197" t="s">
        <v>251</v>
      </c>
      <c r="E18" s="198" t="s">
        <v>252</v>
      </c>
      <c r="F18" s="142" t="s">
        <v>253</v>
      </c>
      <c r="H18" s="199" t="s">
        <v>254</v>
      </c>
      <c r="I18" s="200"/>
    </row>
    <row r="19" spans="1:12" x14ac:dyDescent="0.25">
      <c r="A19" s="201" t="s">
        <v>260</v>
      </c>
      <c r="B19" s="202">
        <v>12.945207090671333</v>
      </c>
      <c r="C19" s="203">
        <v>15.821607578251736</v>
      </c>
      <c r="D19" s="203">
        <v>14.231059990149252</v>
      </c>
      <c r="E19" s="204">
        <v>11.060432311571477</v>
      </c>
      <c r="F19" s="203">
        <v>10.44720409942445</v>
      </c>
    </row>
    <row r="20" spans="1:12" x14ac:dyDescent="0.25">
      <c r="A20" s="161" t="s">
        <v>256</v>
      </c>
      <c r="B20" s="205">
        <f>B14*10^6/(I11+I15)</f>
        <v>27.162005226836765</v>
      </c>
      <c r="C20" s="206">
        <f>C14*10^6/I13+E20</f>
        <v>25.569353455904643</v>
      </c>
      <c r="D20" s="206">
        <f>D14*10^6/(I8+I9)+F20</f>
        <v>29.509020749810716</v>
      </c>
      <c r="E20" s="207">
        <f>E14/I13*10^6</f>
        <v>23.635255073464297</v>
      </c>
      <c r="F20" s="206">
        <f>F14/(I11+I15-I13)*10^6</f>
        <v>23.6352550734643</v>
      </c>
    </row>
    <row r="21" spans="1:12" ht="15.75" thickBot="1" x14ac:dyDescent="0.3">
      <c r="A21" s="208" t="s">
        <v>257</v>
      </c>
      <c r="B21" s="229">
        <f>$B$13/$I$6</f>
        <v>2.9086790294803257E-3</v>
      </c>
      <c r="C21" s="229">
        <f>$B$13/$I$6</f>
        <v>2.9086790294803257E-3</v>
      </c>
      <c r="D21" s="230">
        <f>$B$13/$I$6</f>
        <v>2.9086790294803257E-3</v>
      </c>
      <c r="E21" s="231">
        <f>D21</f>
        <v>2.9086790294803257E-3</v>
      </c>
      <c r="F21" s="230">
        <f>$B$13/$I$6</f>
        <v>2.9086790294803257E-3</v>
      </c>
    </row>
    <row r="22" spans="1:12" ht="15.75" thickBot="1" x14ac:dyDescent="0.3">
      <c r="A22" s="212" t="s">
        <v>258</v>
      </c>
      <c r="B22" s="213" t="s">
        <v>171</v>
      </c>
      <c r="C22" s="214">
        <f>(C20-$B$20)/$B$20</f>
        <v>-5.8635279598523181E-2</v>
      </c>
      <c r="D22" s="214">
        <f>(D20-$B$20)/$B$20</f>
        <v>8.6408035908005748E-2</v>
      </c>
      <c r="E22" s="214"/>
      <c r="F22" s="214">
        <f>(F20-$B$20)/$B$20</f>
        <v>-0.12984130309672218</v>
      </c>
    </row>
    <row r="23" spans="1:12" x14ac:dyDescent="0.25">
      <c r="G23" s="50"/>
      <c r="H23" s="50"/>
      <c r="I23" s="50"/>
    </row>
    <row r="24" spans="1:12" x14ac:dyDescent="0.25">
      <c r="A24" s="50"/>
      <c r="B24" s="50"/>
      <c r="C24" s="50"/>
      <c r="D24" s="50"/>
      <c r="E24" s="50"/>
      <c r="F24" s="50"/>
      <c r="G24" s="50"/>
      <c r="H24" s="50"/>
      <c r="I24" s="50"/>
      <c r="K24" s="50"/>
      <c r="L24" s="50"/>
    </row>
    <row r="25" spans="1:12" x14ac:dyDescent="0.25">
      <c r="A25" s="215"/>
      <c r="B25" s="50"/>
      <c r="C25" s="50"/>
      <c r="D25" s="50"/>
      <c r="E25" s="50"/>
      <c r="F25" s="50"/>
      <c r="G25" s="50"/>
      <c r="H25" s="50"/>
      <c r="I25" s="50"/>
      <c r="K25" s="50"/>
      <c r="L25" s="50"/>
    </row>
    <row r="26" spans="1:12" x14ac:dyDescent="0.25">
      <c r="A26" s="215"/>
      <c r="B26" s="50"/>
      <c r="C26" s="50"/>
      <c r="D26" s="50"/>
      <c r="E26" s="50"/>
      <c r="F26" s="50"/>
      <c r="G26" s="50"/>
      <c r="H26" s="50"/>
      <c r="I26" s="50"/>
      <c r="K26" s="50"/>
      <c r="L26" s="50"/>
    </row>
    <row r="27" spans="1:12" x14ac:dyDescent="0.25">
      <c r="A27" s="215"/>
      <c r="B27" s="50"/>
      <c r="C27" s="50"/>
      <c r="D27" s="50"/>
      <c r="E27" s="50"/>
      <c r="F27" s="50"/>
      <c r="G27" s="50"/>
      <c r="H27" s="50"/>
      <c r="I27" s="50"/>
      <c r="K27" s="50"/>
      <c r="L27" s="50"/>
    </row>
    <row r="28" spans="1:12" x14ac:dyDescent="0.25">
      <c r="A28" s="215"/>
      <c r="B28" s="50"/>
      <c r="C28" s="50"/>
      <c r="D28" s="50"/>
      <c r="E28" s="50"/>
      <c r="F28" s="50"/>
      <c r="G28" s="50"/>
      <c r="H28" s="50"/>
      <c r="I28" s="50"/>
      <c r="K28" s="50"/>
      <c r="L28" s="50"/>
    </row>
    <row r="29" spans="1:12" x14ac:dyDescent="0.25">
      <c r="A29" s="215"/>
      <c r="B29" s="50"/>
      <c r="C29" s="50"/>
      <c r="D29" s="50"/>
      <c r="E29" s="50"/>
      <c r="F29" s="50"/>
      <c r="G29" s="50"/>
      <c r="H29" s="50"/>
      <c r="I29" s="50"/>
      <c r="K29" s="50"/>
      <c r="L29" s="50"/>
    </row>
    <row r="30" spans="1:12" x14ac:dyDescent="0.25">
      <c r="A30" s="215"/>
      <c r="B30" s="50"/>
      <c r="C30" s="50"/>
      <c r="D30" s="50"/>
      <c r="E30" s="50"/>
      <c r="F30" s="50"/>
      <c r="G30" s="50"/>
      <c r="H30" s="50"/>
      <c r="I30" s="50"/>
      <c r="K30" s="50"/>
      <c r="L30" s="50"/>
    </row>
    <row r="31" spans="1:12" x14ac:dyDescent="0.25">
      <c r="A31" s="215"/>
      <c r="B31" s="50"/>
      <c r="C31" s="50"/>
      <c r="D31" s="50"/>
      <c r="E31" s="50"/>
      <c r="F31" s="50"/>
      <c r="G31" s="50"/>
      <c r="H31" s="50"/>
      <c r="I31" s="50"/>
      <c r="K31" s="50"/>
      <c r="L31" s="50"/>
    </row>
    <row r="32" spans="1:12" x14ac:dyDescent="0.25">
      <c r="A32" s="50"/>
      <c r="B32" s="50"/>
      <c r="C32" s="50"/>
      <c r="D32" s="50"/>
      <c r="E32" s="50"/>
      <c r="F32" s="50"/>
    </row>
    <row r="40" spans="7:10" x14ac:dyDescent="0.25">
      <c r="G40" s="50"/>
      <c r="H40" s="216"/>
      <c r="I40" s="50"/>
      <c r="J40" s="50"/>
    </row>
    <row r="41" spans="7:10" x14ac:dyDescent="0.25">
      <c r="G41" s="50"/>
      <c r="H41" s="216"/>
      <c r="I41" s="50"/>
      <c r="J41" s="50"/>
    </row>
    <row r="42" spans="7:10" x14ac:dyDescent="0.25">
      <c r="G42" s="50"/>
      <c r="H42" s="216"/>
      <c r="I42" s="50"/>
      <c r="J42" s="50"/>
    </row>
    <row r="43" spans="7:10" x14ac:dyDescent="0.25">
      <c r="G43" s="50"/>
      <c r="H43" s="216"/>
      <c r="I43" s="50"/>
      <c r="J43" s="50"/>
    </row>
    <row r="44" spans="7:10" x14ac:dyDescent="0.25">
      <c r="G44" s="50"/>
      <c r="H44" s="216"/>
      <c r="I44" s="50"/>
      <c r="J44" s="50"/>
    </row>
    <row r="45" spans="7:10" x14ac:dyDescent="0.25">
      <c r="G45" s="50"/>
      <c r="H45" s="216"/>
      <c r="I45" s="50"/>
      <c r="J45" s="50"/>
    </row>
    <row r="46" spans="7:10" x14ac:dyDescent="0.25">
      <c r="G46" s="50"/>
      <c r="H46" s="216"/>
      <c r="I46" s="50"/>
      <c r="J46" s="50"/>
    </row>
    <row r="47" spans="7:10" x14ac:dyDescent="0.25">
      <c r="G47" s="50"/>
      <c r="H47" s="216"/>
      <c r="I47" s="50"/>
      <c r="J47" s="50"/>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1:J43"/>
  <sheetViews>
    <sheetView showGridLines="0" workbookViewId="0">
      <selection activeCell="D8" sqref="D8"/>
    </sheetView>
  </sheetViews>
  <sheetFormatPr defaultColWidth="8.7109375" defaultRowHeight="15" x14ac:dyDescent="0.25"/>
  <cols>
    <col min="1" max="1" width="1.42578125" style="285" customWidth="1"/>
    <col min="2" max="2" width="15.85546875" style="285" customWidth="1"/>
    <col min="3" max="3" width="18.28515625" style="285" bestFit="1" customWidth="1"/>
    <col min="4" max="10" width="9.85546875" style="285" bestFit="1" customWidth="1"/>
    <col min="11" max="16384" width="8.7109375" style="285"/>
  </cols>
  <sheetData>
    <row r="1" spans="2:10" ht="21" x14ac:dyDescent="0.35">
      <c r="B1" s="297" t="s">
        <v>334</v>
      </c>
    </row>
    <row r="2" spans="2:10" x14ac:dyDescent="0.25">
      <c r="B2" s="285" t="s">
        <v>341</v>
      </c>
    </row>
    <row r="4" spans="2:10" x14ac:dyDescent="0.25">
      <c r="B4" s="298" t="s">
        <v>25</v>
      </c>
      <c r="C4" s="407" t="s">
        <v>24</v>
      </c>
    </row>
    <row r="6" spans="2:10" x14ac:dyDescent="0.25">
      <c r="B6" s="299" t="s">
        <v>43</v>
      </c>
      <c r="C6" s="300"/>
      <c r="D6" s="442" t="s">
        <v>317</v>
      </c>
      <c r="E6" s="442"/>
      <c r="F6" s="442"/>
      <c r="G6" s="442"/>
      <c r="H6" s="442"/>
      <c r="I6" s="442"/>
      <c r="J6" s="420"/>
    </row>
    <row r="7" spans="2:10" x14ac:dyDescent="0.25">
      <c r="B7" s="301"/>
      <c r="C7" s="302" t="s">
        <v>1</v>
      </c>
      <c r="D7" s="302" t="s">
        <v>31</v>
      </c>
      <c r="E7" s="302" t="s">
        <v>32</v>
      </c>
      <c r="F7" s="302" t="s">
        <v>33</v>
      </c>
      <c r="G7" s="302" t="s">
        <v>34</v>
      </c>
      <c r="H7" s="302" t="s">
        <v>35</v>
      </c>
      <c r="I7" s="302" t="s">
        <v>36</v>
      </c>
      <c r="J7" s="303" t="s">
        <v>393</v>
      </c>
    </row>
    <row r="8" spans="2:10" x14ac:dyDescent="0.25">
      <c r="B8" s="399" t="s">
        <v>362</v>
      </c>
      <c r="C8" s="400" t="s">
        <v>2</v>
      </c>
      <c r="D8" s="401">
        <v>0</v>
      </c>
      <c r="E8" s="401">
        <v>0</v>
      </c>
      <c r="F8" s="401">
        <v>0</v>
      </c>
      <c r="G8" s="401">
        <v>0</v>
      </c>
      <c r="H8" s="401">
        <v>0</v>
      </c>
      <c r="I8" s="401">
        <v>0</v>
      </c>
      <c r="J8" s="402">
        <v>0</v>
      </c>
    </row>
    <row r="9" spans="2:10" x14ac:dyDescent="0.25">
      <c r="B9" s="304" t="s">
        <v>0</v>
      </c>
      <c r="C9" s="305" t="s">
        <v>2</v>
      </c>
      <c r="D9" s="309">
        <v>0</v>
      </c>
      <c r="E9" s="309">
        <v>0</v>
      </c>
      <c r="F9" s="309">
        <v>0</v>
      </c>
      <c r="G9" s="309">
        <v>0</v>
      </c>
      <c r="H9" s="309">
        <v>0</v>
      </c>
      <c r="I9" s="309">
        <v>0</v>
      </c>
      <c r="J9" s="421">
        <v>0</v>
      </c>
    </row>
    <row r="10" spans="2:10" x14ac:dyDescent="0.25">
      <c r="B10" s="306" t="s">
        <v>312</v>
      </c>
      <c r="C10" s="307" t="s">
        <v>2</v>
      </c>
      <c r="D10" s="310">
        <v>0</v>
      </c>
      <c r="E10" s="310">
        <v>0</v>
      </c>
      <c r="F10" s="310">
        <v>0</v>
      </c>
      <c r="G10" s="310">
        <v>0</v>
      </c>
      <c r="H10" s="310">
        <v>0</v>
      </c>
      <c r="I10" s="310">
        <v>0</v>
      </c>
      <c r="J10" s="311">
        <v>0</v>
      </c>
    </row>
    <row r="12" spans="2:10" x14ac:dyDescent="0.25">
      <c r="B12" s="308" t="s">
        <v>44</v>
      </c>
      <c r="C12" s="308"/>
    </row>
    <row r="13" spans="2:10" x14ac:dyDescent="0.25">
      <c r="D13" s="404"/>
      <c r="E13" s="404"/>
      <c r="F13" s="404"/>
      <c r="G13" s="404"/>
      <c r="H13" s="404"/>
      <c r="I13" s="404"/>
    </row>
    <row r="14" spans="2:10" x14ac:dyDescent="0.25">
      <c r="D14" s="404"/>
      <c r="E14" s="404"/>
      <c r="F14" s="404"/>
      <c r="G14" s="404"/>
      <c r="H14" s="404"/>
      <c r="I14" s="404"/>
    </row>
    <row r="15" spans="2:10" x14ac:dyDescent="0.25">
      <c r="D15" s="404"/>
      <c r="E15" s="404"/>
      <c r="F15" s="404"/>
      <c r="G15" s="404"/>
      <c r="H15" s="404"/>
      <c r="I15" s="404"/>
    </row>
    <row r="16" spans="2:10" x14ac:dyDescent="0.25">
      <c r="D16" s="404"/>
      <c r="E16" s="404"/>
      <c r="F16" s="404"/>
      <c r="G16" s="404"/>
      <c r="H16" s="404"/>
      <c r="I16" s="404"/>
    </row>
    <row r="17" spans="4:9" x14ac:dyDescent="0.25">
      <c r="D17" s="404"/>
      <c r="E17" s="404"/>
      <c r="F17" s="404"/>
      <c r="G17" s="404"/>
      <c r="H17" s="404"/>
      <c r="I17" s="404"/>
    </row>
    <row r="18" spans="4:9" x14ac:dyDescent="0.25">
      <c r="D18" s="404"/>
      <c r="E18" s="404"/>
      <c r="F18" s="404"/>
      <c r="G18" s="404"/>
      <c r="H18" s="404"/>
      <c r="I18" s="404"/>
    </row>
    <row r="19" spans="4:9" x14ac:dyDescent="0.25">
      <c r="D19" s="404"/>
      <c r="E19" s="404"/>
      <c r="F19" s="404"/>
      <c r="G19" s="404"/>
      <c r="H19" s="404"/>
      <c r="I19" s="404"/>
    </row>
    <row r="20" spans="4:9" x14ac:dyDescent="0.25">
      <c r="D20" s="403"/>
      <c r="E20" s="403"/>
      <c r="F20" s="403"/>
      <c r="G20" s="403"/>
      <c r="H20" s="403"/>
      <c r="I20" s="403"/>
    </row>
    <row r="21" spans="4:9" x14ac:dyDescent="0.25">
      <c r="D21" s="403"/>
      <c r="E21" s="403"/>
      <c r="F21" s="403"/>
      <c r="G21" s="403"/>
      <c r="H21" s="403"/>
      <c r="I21" s="403"/>
    </row>
    <row r="22" spans="4:9" x14ac:dyDescent="0.25">
      <c r="D22" s="403"/>
      <c r="E22" s="403"/>
      <c r="F22" s="403"/>
      <c r="G22" s="403"/>
      <c r="H22" s="403"/>
      <c r="I22" s="403"/>
    </row>
    <row r="23" spans="4:9" x14ac:dyDescent="0.25">
      <c r="D23" s="403"/>
      <c r="E23" s="403"/>
      <c r="F23" s="403"/>
      <c r="G23" s="403"/>
      <c r="H23" s="403"/>
      <c r="I23" s="403"/>
    </row>
    <row r="24" spans="4:9" x14ac:dyDescent="0.25">
      <c r="D24" s="403"/>
      <c r="E24" s="403"/>
      <c r="F24" s="403"/>
      <c r="G24" s="403"/>
      <c r="H24" s="403"/>
      <c r="I24" s="403"/>
    </row>
    <row r="25" spans="4:9" x14ac:dyDescent="0.25">
      <c r="D25" s="403"/>
      <c r="E25" s="403"/>
      <c r="F25" s="403"/>
      <c r="G25" s="403"/>
      <c r="H25" s="403"/>
      <c r="I25" s="403"/>
    </row>
    <row r="26" spans="4:9" x14ac:dyDescent="0.25">
      <c r="D26" s="403"/>
      <c r="E26" s="403"/>
      <c r="F26" s="403"/>
      <c r="G26" s="403"/>
      <c r="H26" s="403"/>
      <c r="I26" s="403"/>
    </row>
    <row r="27" spans="4:9" x14ac:dyDescent="0.25">
      <c r="D27" s="403"/>
      <c r="E27" s="403"/>
      <c r="F27" s="403"/>
      <c r="G27" s="403"/>
      <c r="H27" s="403"/>
      <c r="I27" s="403"/>
    </row>
    <row r="28" spans="4:9" x14ac:dyDescent="0.25">
      <c r="D28" s="403"/>
      <c r="E28" s="403"/>
      <c r="F28" s="403"/>
      <c r="G28" s="403"/>
      <c r="H28" s="403"/>
      <c r="I28" s="403"/>
    </row>
    <row r="29" spans="4:9" x14ac:dyDescent="0.25">
      <c r="D29" s="403"/>
      <c r="E29" s="403"/>
      <c r="F29" s="403"/>
      <c r="G29" s="403"/>
      <c r="H29" s="403"/>
      <c r="I29" s="403"/>
    </row>
    <row r="30" spans="4:9" x14ac:dyDescent="0.25">
      <c r="D30" s="403"/>
      <c r="E30" s="403"/>
      <c r="F30" s="403"/>
      <c r="G30" s="403"/>
      <c r="H30" s="403"/>
      <c r="I30" s="403"/>
    </row>
    <row r="31" spans="4:9" x14ac:dyDescent="0.25">
      <c r="D31" s="403"/>
      <c r="E31" s="403"/>
      <c r="F31" s="403"/>
      <c r="G31" s="403"/>
      <c r="H31" s="403"/>
      <c r="I31" s="403"/>
    </row>
    <row r="32" spans="4:9" x14ac:dyDescent="0.25">
      <c r="D32" s="403"/>
      <c r="E32" s="403"/>
      <c r="F32" s="403"/>
      <c r="G32" s="403"/>
      <c r="H32" s="403"/>
      <c r="I32" s="403"/>
    </row>
    <row r="33" spans="4:9" x14ac:dyDescent="0.25">
      <c r="D33" s="403"/>
      <c r="E33" s="403"/>
      <c r="F33" s="403"/>
      <c r="G33" s="403"/>
      <c r="H33" s="403"/>
      <c r="I33" s="403"/>
    </row>
    <row r="34" spans="4:9" x14ac:dyDescent="0.25">
      <c r="D34" s="403"/>
      <c r="E34" s="403"/>
      <c r="F34" s="403"/>
      <c r="G34" s="403"/>
      <c r="H34" s="403"/>
      <c r="I34" s="403"/>
    </row>
    <row r="35" spans="4:9" x14ac:dyDescent="0.25">
      <c r="D35" s="403"/>
      <c r="E35" s="403"/>
      <c r="F35" s="403"/>
      <c r="G35" s="403"/>
      <c r="H35" s="403"/>
      <c r="I35" s="403"/>
    </row>
    <row r="36" spans="4:9" x14ac:dyDescent="0.25">
      <c r="D36" s="403"/>
      <c r="E36" s="403"/>
      <c r="F36" s="403"/>
      <c r="G36" s="403"/>
      <c r="H36" s="403"/>
      <c r="I36" s="403"/>
    </row>
    <row r="37" spans="4:9" x14ac:dyDescent="0.25">
      <c r="D37" s="403"/>
      <c r="E37" s="403"/>
      <c r="F37" s="403"/>
      <c r="G37" s="403"/>
      <c r="H37" s="403"/>
      <c r="I37" s="403"/>
    </row>
    <row r="38" spans="4:9" x14ac:dyDescent="0.25">
      <c r="D38" s="403"/>
      <c r="E38" s="403"/>
      <c r="F38" s="403"/>
      <c r="G38" s="403"/>
      <c r="H38" s="403"/>
      <c r="I38" s="403"/>
    </row>
    <row r="39" spans="4:9" x14ac:dyDescent="0.25">
      <c r="D39" s="403"/>
      <c r="E39" s="403"/>
      <c r="F39" s="403"/>
      <c r="G39" s="403"/>
      <c r="H39" s="403"/>
      <c r="I39" s="403"/>
    </row>
    <row r="40" spans="4:9" x14ac:dyDescent="0.25">
      <c r="D40" s="403"/>
      <c r="E40" s="403"/>
      <c r="F40" s="403"/>
      <c r="G40" s="403"/>
      <c r="H40" s="403"/>
      <c r="I40" s="403"/>
    </row>
    <row r="41" spans="4:9" x14ac:dyDescent="0.25">
      <c r="D41" s="403"/>
      <c r="E41" s="403"/>
      <c r="F41" s="403"/>
      <c r="G41" s="403"/>
      <c r="H41" s="403"/>
      <c r="I41" s="403"/>
    </row>
    <row r="42" spans="4:9" x14ac:dyDescent="0.25">
      <c r="D42" s="403"/>
      <c r="E42" s="403"/>
      <c r="F42" s="403"/>
      <c r="G42" s="403"/>
      <c r="H42" s="403"/>
      <c r="I42" s="403"/>
    </row>
    <row r="43" spans="4:9" x14ac:dyDescent="0.25">
      <c r="D43" s="403"/>
      <c r="E43" s="403"/>
      <c r="F43" s="403"/>
      <c r="G43" s="403"/>
      <c r="H43" s="403"/>
      <c r="I43" s="403"/>
    </row>
  </sheetData>
  <sheetProtection algorithmName="SHA-512" hashValue="gX6JDDf+EsQb8hZ23YQcLasi4Q4S0Kp7a+X8dPRGXCybF5kB4hYrjr7DNkClhVaipLyZZciRrbcxmvIHjaXSFA==" saltValue="zTbkRjh45I8EfCzfjtX2ng==" spinCount="100000" sheet="1" selectLockedCells="1"/>
  <mergeCells count="1">
    <mergeCell ref="D6:I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sheetPr>
  <dimension ref="A1:AC109"/>
  <sheetViews>
    <sheetView showGridLines="0" zoomScaleNormal="100" workbookViewId="0"/>
  </sheetViews>
  <sheetFormatPr defaultColWidth="9.140625" defaultRowHeight="15" x14ac:dyDescent="0.25"/>
  <cols>
    <col min="1" max="1" width="9.140625" style="53"/>
    <col min="2" max="2" width="21" style="53" customWidth="1"/>
    <col min="3" max="3" width="19.5703125" style="53" customWidth="1"/>
    <col min="4" max="4" width="15.5703125" style="53" customWidth="1"/>
    <col min="5" max="5" width="12.5703125" style="53" customWidth="1"/>
    <col min="6" max="6" width="13.140625" style="53" customWidth="1"/>
    <col min="7" max="7" width="10" style="53" bestFit="1" customWidth="1"/>
    <col min="8" max="8" width="10.140625" style="53" bestFit="1" customWidth="1"/>
    <col min="9" max="9" width="21.5703125" style="53" customWidth="1"/>
    <col min="10" max="10" width="19" style="53" customWidth="1"/>
    <col min="11" max="11" width="12.140625" style="53" bestFit="1" customWidth="1"/>
    <col min="12" max="12" width="21.42578125" style="53" customWidth="1"/>
    <col min="13" max="13" width="17.140625" style="53" customWidth="1"/>
    <col min="14" max="14" width="12.140625" style="53" bestFit="1" customWidth="1"/>
    <col min="15" max="15" width="9.42578125" style="53" bestFit="1" customWidth="1"/>
    <col min="16" max="16384" width="9.140625" style="53"/>
  </cols>
  <sheetData>
    <row r="1" spans="1:20" x14ac:dyDescent="0.25">
      <c r="A1" s="53" t="s">
        <v>86</v>
      </c>
    </row>
    <row r="2" spans="1:20" ht="15.75" x14ac:dyDescent="0.25">
      <c r="A2" s="54" t="s">
        <v>87</v>
      </c>
    </row>
    <row r="3" spans="1:20" x14ac:dyDescent="0.25">
      <c r="A3" s="55" t="s">
        <v>88</v>
      </c>
    </row>
    <row r="4" spans="1:20" x14ac:dyDescent="0.25">
      <c r="B4" s="56"/>
      <c r="C4" s="56"/>
      <c r="D4" s="56"/>
      <c r="E4" s="56"/>
      <c r="F4" s="56"/>
    </row>
    <row r="5" spans="1:20" x14ac:dyDescent="0.25">
      <c r="A5" s="57" t="s">
        <v>89</v>
      </c>
      <c r="B5" s="55"/>
      <c r="C5" s="55"/>
      <c r="D5" s="55"/>
      <c r="E5" s="55"/>
      <c r="F5" s="55"/>
      <c r="G5" s="55"/>
      <c r="H5" s="55"/>
    </row>
    <row r="13" spans="1:20" ht="18.75" x14ac:dyDescent="0.3">
      <c r="A13" s="58" t="s">
        <v>90</v>
      </c>
    </row>
    <row r="14" spans="1:20" x14ac:dyDescent="0.25">
      <c r="T14" s="62"/>
    </row>
    <row r="15" spans="1:20" x14ac:dyDescent="0.25">
      <c r="B15" s="69" t="s">
        <v>91</v>
      </c>
      <c r="T15" s="62"/>
    </row>
    <row r="16" spans="1:20" x14ac:dyDescent="0.25">
      <c r="B16" s="69" t="s">
        <v>26</v>
      </c>
      <c r="C16" s="62" t="s">
        <v>92</v>
      </c>
      <c r="D16" s="62" t="s">
        <v>93</v>
      </c>
      <c r="E16" s="62" t="s">
        <v>94</v>
      </c>
      <c r="F16" s="62"/>
      <c r="J16" s="69" t="s">
        <v>8</v>
      </c>
      <c r="K16" s="62" t="s">
        <v>92</v>
      </c>
      <c r="L16" s="62" t="s">
        <v>93</v>
      </c>
      <c r="M16" s="62" t="s">
        <v>94</v>
      </c>
      <c r="N16" s="62"/>
      <c r="R16" s="62"/>
      <c r="T16" s="62"/>
    </row>
    <row r="17" spans="1:29" x14ac:dyDescent="0.25">
      <c r="A17" s="63" t="s">
        <v>95</v>
      </c>
      <c r="B17" s="62" t="s">
        <v>70</v>
      </c>
      <c r="C17" s="62">
        <v>0</v>
      </c>
      <c r="D17" s="62">
        <v>93</v>
      </c>
      <c r="E17" s="62">
        <f>'Forecasted Capacities'!D16*10^(-3)</f>
        <v>210</v>
      </c>
      <c r="F17" s="62"/>
      <c r="J17" s="62" t="s">
        <v>68</v>
      </c>
      <c r="K17" s="62">
        <v>56.8</v>
      </c>
      <c r="L17" s="62">
        <v>0</v>
      </c>
      <c r="M17" s="62">
        <f>'Forecasted Capacities'!D13*10^(-3)</f>
        <v>1E-3</v>
      </c>
      <c r="N17" s="63" t="s">
        <v>200</v>
      </c>
      <c r="R17" s="62"/>
      <c r="T17" s="62"/>
    </row>
    <row r="18" spans="1:29" x14ac:dyDescent="0.25">
      <c r="B18" s="62" t="s">
        <v>73</v>
      </c>
      <c r="C18" s="62">
        <v>56.8</v>
      </c>
      <c r="D18" s="62">
        <v>93</v>
      </c>
      <c r="E18" s="62">
        <f>'Forecasted Capacities'!D18*10^(-3)</f>
        <v>785.00000000000034</v>
      </c>
      <c r="F18" s="62"/>
      <c r="J18" s="62" t="s">
        <v>66</v>
      </c>
      <c r="K18" s="62">
        <v>275.39999999999998</v>
      </c>
      <c r="L18" s="62">
        <v>93</v>
      </c>
      <c r="M18" s="62">
        <f>'Forecasted Capacities'!D12*10^(-3)</f>
        <v>1E-3</v>
      </c>
      <c r="N18" s="62"/>
      <c r="R18" s="62"/>
      <c r="T18" s="62"/>
      <c r="V18" s="62"/>
      <c r="W18" s="62"/>
      <c r="X18" s="62"/>
      <c r="Y18" s="62"/>
      <c r="Z18" s="62"/>
      <c r="AA18" s="62"/>
      <c r="AB18" s="62"/>
      <c r="AC18" s="62"/>
    </row>
    <row r="19" spans="1:29" x14ac:dyDescent="0.25">
      <c r="B19" s="62" t="s">
        <v>68</v>
      </c>
      <c r="C19" s="62">
        <v>56.8</v>
      </c>
      <c r="D19" s="62">
        <v>0</v>
      </c>
      <c r="E19" s="62">
        <f>'Forecasted Capacities'!D17*10^(-3)</f>
        <v>3516.078125</v>
      </c>
      <c r="F19" s="62"/>
      <c r="J19" s="62" t="s">
        <v>64</v>
      </c>
      <c r="K19" s="62">
        <v>190</v>
      </c>
      <c r="L19" s="62">
        <v>93</v>
      </c>
      <c r="M19" s="62">
        <f>'Forecasted Capacities'!D11*10^(-3)</f>
        <v>3700</v>
      </c>
      <c r="N19" s="62"/>
      <c r="R19" s="62"/>
      <c r="V19" s="62"/>
      <c r="X19" s="63"/>
      <c r="Y19" s="63"/>
      <c r="Z19" s="63"/>
      <c r="AA19" s="63"/>
      <c r="AB19" s="63"/>
      <c r="AC19" s="63"/>
    </row>
    <row r="20" spans="1:29" x14ac:dyDescent="0.25">
      <c r="B20" s="62" t="s">
        <v>96</v>
      </c>
      <c r="C20" s="62">
        <v>97.8</v>
      </c>
      <c r="D20" s="62">
        <v>93</v>
      </c>
      <c r="E20" s="62">
        <f>'Forecasted Capacities'!D22*10^(-3)</f>
        <v>7000</v>
      </c>
      <c r="F20" s="62"/>
      <c r="J20" s="62" t="s">
        <v>96</v>
      </c>
      <c r="K20" s="62">
        <v>97.8</v>
      </c>
      <c r="L20" s="62">
        <v>93</v>
      </c>
      <c r="M20" s="62">
        <f>'Forecasted Capacities'!D21*10^(-3)</f>
        <v>4000</v>
      </c>
      <c r="N20" s="62"/>
      <c r="R20" s="62"/>
      <c r="V20" s="62"/>
      <c r="W20" s="62"/>
      <c r="X20" s="62"/>
      <c r="Y20" s="62"/>
      <c r="Z20" s="62"/>
      <c r="AA20" s="62"/>
      <c r="AB20" s="62"/>
      <c r="AC20" s="62"/>
    </row>
    <row r="21" spans="1:29" x14ac:dyDescent="0.25">
      <c r="E21" s="73">
        <f>SUM(E17:E20)</f>
        <v>11511.078125</v>
      </c>
      <c r="M21" s="73">
        <f>SUM(M17:M20)</f>
        <v>7700.0020000000004</v>
      </c>
      <c r="V21" s="62"/>
      <c r="W21" s="62"/>
      <c r="X21" s="62"/>
      <c r="Y21" s="62"/>
      <c r="Z21" s="62"/>
      <c r="AA21" s="62"/>
      <c r="AB21" s="62"/>
      <c r="AC21" s="62"/>
    </row>
    <row r="22" spans="1:29" x14ac:dyDescent="0.25">
      <c r="V22" s="62"/>
      <c r="W22" s="62"/>
      <c r="X22" s="62"/>
      <c r="Y22" s="62"/>
      <c r="Z22" s="62"/>
      <c r="AA22" s="62"/>
      <c r="AB22" s="62"/>
      <c r="AC22" s="62"/>
    </row>
    <row r="23" spans="1:29" x14ac:dyDescent="0.25">
      <c r="B23" s="69" t="s">
        <v>97</v>
      </c>
    </row>
    <row r="24" spans="1:29" ht="15.75" x14ac:dyDescent="0.25">
      <c r="B24" s="54"/>
      <c r="C24" s="62" t="s">
        <v>98</v>
      </c>
      <c r="E24" s="62">
        <f>'15. Current tariff method 22'!B13+'15. Current tariff method 22'!B14</f>
        <v>435.52107643690204</v>
      </c>
    </row>
    <row r="25" spans="1:29" x14ac:dyDescent="0.25">
      <c r="A25" s="63" t="s">
        <v>99</v>
      </c>
      <c r="C25" s="62" t="s">
        <v>100</v>
      </c>
      <c r="E25" s="62">
        <f>'15. Current tariff method 22'!B14</f>
        <v>304.8647535058314</v>
      </c>
    </row>
    <row r="26" spans="1:29" x14ac:dyDescent="0.25">
      <c r="A26" s="63" t="s">
        <v>101</v>
      </c>
      <c r="C26" s="62" t="s">
        <v>102</v>
      </c>
      <c r="D26" s="62"/>
      <c r="E26" s="62">
        <v>0.5</v>
      </c>
    </row>
    <row r="27" spans="1:29" x14ac:dyDescent="0.25">
      <c r="A27" s="63" t="s">
        <v>101</v>
      </c>
      <c r="C27" s="62" t="s">
        <v>103</v>
      </c>
      <c r="D27" s="62"/>
      <c r="E27" s="62">
        <f>E25*E26</f>
        <v>152.4323767529157</v>
      </c>
    </row>
    <row r="28" spans="1:29" x14ac:dyDescent="0.25">
      <c r="C28" s="62" t="s">
        <v>104</v>
      </c>
      <c r="D28" s="62"/>
      <c r="E28" s="62">
        <f>E25*(1-E26)</f>
        <v>152.4323767529157</v>
      </c>
    </row>
    <row r="29" spans="1:29" x14ac:dyDescent="0.25">
      <c r="C29" s="62" t="s">
        <v>105</v>
      </c>
      <c r="E29" s="62">
        <f>'15. Current tariff method 22'!B13</f>
        <v>130.65632293107063</v>
      </c>
    </row>
    <row r="31" spans="1:29" x14ac:dyDescent="0.25">
      <c r="K31" s="67"/>
      <c r="L31" s="67"/>
    </row>
    <row r="32" spans="1:29" x14ac:dyDescent="0.25">
      <c r="B32" s="68" t="s">
        <v>106</v>
      </c>
      <c r="J32" s="68" t="s">
        <v>107</v>
      </c>
    </row>
    <row r="33" spans="1:14" x14ac:dyDescent="0.25">
      <c r="B33" s="69" t="s">
        <v>108</v>
      </c>
      <c r="C33" s="69" t="s">
        <v>8</v>
      </c>
      <c r="J33" s="69" t="s">
        <v>109</v>
      </c>
      <c r="K33" s="62" t="s">
        <v>26</v>
      </c>
    </row>
    <row r="34" spans="1:14" x14ac:dyDescent="0.25">
      <c r="B34" s="69" t="s">
        <v>26</v>
      </c>
      <c r="C34" s="62" t="s">
        <v>68</v>
      </c>
      <c r="D34" s="62" t="s">
        <v>66</v>
      </c>
      <c r="E34" s="62" t="s">
        <v>64</v>
      </c>
      <c r="F34" s="62" t="s">
        <v>96</v>
      </c>
      <c r="J34" s="62" t="s">
        <v>8</v>
      </c>
      <c r="K34" s="62" t="s">
        <v>70</v>
      </c>
      <c r="L34" s="62" t="s">
        <v>73</v>
      </c>
      <c r="M34" s="62" t="s">
        <v>68</v>
      </c>
      <c r="N34" s="62" t="s">
        <v>96</v>
      </c>
    </row>
    <row r="35" spans="1:14" x14ac:dyDescent="0.25">
      <c r="B35" s="62" t="s">
        <v>70</v>
      </c>
      <c r="C35" s="62">
        <f>ABS(C19-C17)+ABS(D17-D19)</f>
        <v>149.80000000000001</v>
      </c>
      <c r="D35" s="62">
        <f>ABS(K18-C17)+ABS(L18-D17)</f>
        <v>275.39999999999998</v>
      </c>
      <c r="E35" s="62">
        <f>ABS(K19-C17)+ABS(L19-D17)</f>
        <v>190</v>
      </c>
      <c r="F35" s="62">
        <f>ABS(K20-C17)+ABS(L20-D17)</f>
        <v>97.8</v>
      </c>
      <c r="J35" s="62" t="s">
        <v>68</v>
      </c>
      <c r="K35" s="62">
        <f t="shared" ref="K35:L38" si="0">$M17</f>
        <v>1E-3</v>
      </c>
      <c r="L35" s="62">
        <f t="shared" si="0"/>
        <v>1E-3</v>
      </c>
      <c r="M35" s="62">
        <v>0</v>
      </c>
      <c r="N35" s="62">
        <f>$M17</f>
        <v>1E-3</v>
      </c>
    </row>
    <row r="36" spans="1:14" x14ac:dyDescent="0.25">
      <c r="B36" s="62" t="s">
        <v>73</v>
      </c>
      <c r="C36" s="62">
        <f>ABS(C18-C19)+ABS(D18-D19)</f>
        <v>93</v>
      </c>
      <c r="D36" s="62">
        <f>ABS(K18-C18)+ABS(L18-D18)</f>
        <v>218.59999999999997</v>
      </c>
      <c r="E36" s="62">
        <f>ABS(K19-C18)+ABS(L19-D18)</f>
        <v>133.19999999999999</v>
      </c>
      <c r="F36" s="62">
        <f>ABS(K20-C18)+ABS(L20-D18)</f>
        <v>41</v>
      </c>
      <c r="J36" s="62" t="s">
        <v>66</v>
      </c>
      <c r="K36" s="62">
        <f t="shared" si="0"/>
        <v>1E-3</v>
      </c>
      <c r="L36" s="62">
        <f t="shared" si="0"/>
        <v>1E-3</v>
      </c>
      <c r="M36" s="62">
        <f>$M18</f>
        <v>1E-3</v>
      </c>
      <c r="N36" s="62">
        <f>$M18</f>
        <v>1E-3</v>
      </c>
    </row>
    <row r="37" spans="1:14" x14ac:dyDescent="0.25">
      <c r="B37" s="62" t="s">
        <v>68</v>
      </c>
      <c r="C37" s="62">
        <v>0</v>
      </c>
      <c r="D37" s="62">
        <f>ABS(K18-K17)+ABS(L18-L17)</f>
        <v>311.59999999999997</v>
      </c>
      <c r="E37" s="62">
        <f>ABS(K19-K17)+ABS(L19-L17)</f>
        <v>226.2</v>
      </c>
      <c r="F37" s="62">
        <f>ABS(K20-K17)+ABS(L20-L17)</f>
        <v>134</v>
      </c>
      <c r="J37" s="62" t="s">
        <v>64</v>
      </c>
      <c r="K37" s="62">
        <f t="shared" si="0"/>
        <v>3700</v>
      </c>
      <c r="L37" s="62">
        <f t="shared" si="0"/>
        <v>3700</v>
      </c>
      <c r="M37" s="62">
        <f>$M19</f>
        <v>3700</v>
      </c>
      <c r="N37" s="62">
        <f>$M19</f>
        <v>3700</v>
      </c>
    </row>
    <row r="38" spans="1:14" x14ac:dyDescent="0.25">
      <c r="B38" s="62" t="s">
        <v>96</v>
      </c>
      <c r="C38" s="62">
        <f>ABS(C20-C19)+ABS(D20-D19)</f>
        <v>134</v>
      </c>
      <c r="D38" s="62">
        <f>ABS(K18-K20)+ABS(L18-L20)</f>
        <v>177.59999999999997</v>
      </c>
      <c r="E38" s="62">
        <f>ABS(K19-K20)+ABS(L19-L20)</f>
        <v>92.2</v>
      </c>
      <c r="F38" s="62">
        <v>0</v>
      </c>
      <c r="J38" s="62" t="s">
        <v>96</v>
      </c>
      <c r="K38" s="62">
        <f t="shared" si="0"/>
        <v>4000</v>
      </c>
      <c r="L38" s="62">
        <f t="shared" si="0"/>
        <v>4000</v>
      </c>
      <c r="M38" s="62">
        <f>$M20</f>
        <v>4000</v>
      </c>
      <c r="N38" s="62">
        <v>0</v>
      </c>
    </row>
    <row r="39" spans="1:14" x14ac:dyDescent="0.25">
      <c r="J39" s="62"/>
      <c r="K39" s="62"/>
      <c r="L39" s="62"/>
      <c r="M39" s="62"/>
      <c r="N39" s="62"/>
    </row>
    <row r="40" spans="1:14" x14ac:dyDescent="0.25">
      <c r="J40" s="70" t="s">
        <v>14</v>
      </c>
      <c r="K40" s="70">
        <f>SUM(K35:K38)</f>
        <v>7700.0020000000004</v>
      </c>
      <c r="L40" s="70">
        <f t="shared" ref="L40:N40" si="1">SUM(L35:L38)</f>
        <v>7700.0020000000004</v>
      </c>
      <c r="M40" s="70">
        <f t="shared" si="1"/>
        <v>7700.0010000000002</v>
      </c>
      <c r="N40" s="70">
        <f t="shared" si="1"/>
        <v>3700.002</v>
      </c>
    </row>
    <row r="42" spans="1:14" x14ac:dyDescent="0.25">
      <c r="B42" s="68" t="s">
        <v>110</v>
      </c>
      <c r="C42" s="68"/>
      <c r="D42" s="68"/>
      <c r="E42" s="68" t="s">
        <v>111</v>
      </c>
      <c r="F42" s="68"/>
      <c r="G42" s="68"/>
      <c r="H42" s="68" t="s">
        <v>112</v>
      </c>
      <c r="I42" s="68"/>
      <c r="J42" s="68" t="s">
        <v>113</v>
      </c>
      <c r="K42" s="68"/>
    </row>
    <row r="43" spans="1:14" x14ac:dyDescent="0.25">
      <c r="A43" s="63" t="s">
        <v>114</v>
      </c>
      <c r="B43" s="62"/>
      <c r="C43" s="69" t="s">
        <v>115</v>
      </c>
      <c r="D43" s="69"/>
      <c r="E43" s="69" t="s">
        <v>116</v>
      </c>
      <c r="F43" s="62"/>
      <c r="G43" s="62"/>
      <c r="H43" s="69" t="s">
        <v>117</v>
      </c>
      <c r="I43" s="62"/>
      <c r="J43" s="69" t="s">
        <v>118</v>
      </c>
      <c r="K43" s="69" t="s">
        <v>8</v>
      </c>
    </row>
    <row r="44" spans="1:14" x14ac:dyDescent="0.25">
      <c r="B44" s="62" t="s">
        <v>70</v>
      </c>
      <c r="C44" s="62">
        <f>MMULT(C35:F35,K35:K38)/K40</f>
        <v>142.10391441456767</v>
      </c>
      <c r="D44" s="62"/>
      <c r="E44" s="62">
        <f>SUMPRODUCT(C44:C47,E17:E20)</f>
        <v>1369136.125051657</v>
      </c>
      <c r="F44" s="62"/>
      <c r="G44" s="62"/>
      <c r="H44" s="62">
        <f>E17*C44/$E$44</f>
        <v>2.1796095713954879E-2</v>
      </c>
      <c r="I44" s="62"/>
      <c r="J44" s="69" t="s">
        <v>26</v>
      </c>
      <c r="K44" s="62" t="s">
        <v>68</v>
      </c>
      <c r="L44" s="62" t="s">
        <v>66</v>
      </c>
      <c r="M44" s="62" t="s">
        <v>64</v>
      </c>
      <c r="N44" s="62" t="s">
        <v>96</v>
      </c>
    </row>
    <row r="45" spans="1:14" x14ac:dyDescent="0.25">
      <c r="B45" s="62" t="s">
        <v>73</v>
      </c>
      <c r="C45" s="62">
        <f>MMULT(C36:F36,L35:L38)/L40</f>
        <v>85.303914414567672</v>
      </c>
      <c r="D45" s="62"/>
      <c r="E45" s="62"/>
      <c r="F45" s="62"/>
      <c r="G45" s="62"/>
      <c r="H45" s="62">
        <f>E18*C45/$E$44</f>
        <v>4.8909360866443534E-2</v>
      </c>
      <c r="I45" s="62"/>
      <c r="J45" s="62" t="s">
        <v>70</v>
      </c>
      <c r="K45" s="62">
        <f t="shared" ref="K45:N46" si="2">$E17</f>
        <v>210</v>
      </c>
      <c r="L45" s="62">
        <f t="shared" si="2"/>
        <v>210</v>
      </c>
      <c r="M45" s="62">
        <f t="shared" si="2"/>
        <v>210</v>
      </c>
      <c r="N45" s="62">
        <f t="shared" si="2"/>
        <v>210</v>
      </c>
    </row>
    <row r="46" spans="1:14" x14ac:dyDescent="0.25">
      <c r="B46" s="62" t="s">
        <v>68</v>
      </c>
      <c r="C46" s="62">
        <f>MMULT(C37:F37,M35:M38)/M40</f>
        <v>178.30391341507618</v>
      </c>
      <c r="D46" s="62"/>
      <c r="E46" s="62"/>
      <c r="F46" s="62"/>
      <c r="G46" s="62"/>
      <c r="H46" s="62">
        <f>E19*C46/$E$44</f>
        <v>0.45790223345176112</v>
      </c>
      <c r="I46" s="62"/>
      <c r="J46" s="62" t="s">
        <v>73</v>
      </c>
      <c r="K46" s="62">
        <f t="shared" si="2"/>
        <v>785.00000000000034</v>
      </c>
      <c r="L46" s="62">
        <f t="shared" si="2"/>
        <v>785.00000000000034</v>
      </c>
      <c r="M46" s="62">
        <f t="shared" si="2"/>
        <v>785.00000000000034</v>
      </c>
      <c r="N46" s="62">
        <f t="shared" si="2"/>
        <v>785.00000000000034</v>
      </c>
    </row>
    <row r="47" spans="1:14" x14ac:dyDescent="0.25">
      <c r="B47" s="62" t="s">
        <v>96</v>
      </c>
      <c r="C47" s="62">
        <f>MMULT(C38:F38,N35:N38)/N40</f>
        <v>92.200034378359803</v>
      </c>
      <c r="D47" s="62"/>
      <c r="E47" s="62"/>
      <c r="F47" s="62"/>
      <c r="G47" s="62"/>
      <c r="H47" s="62">
        <f>E20*C47/$E$44</f>
        <v>0.47139230996784048</v>
      </c>
      <c r="I47" s="62"/>
      <c r="J47" s="62" t="s">
        <v>68</v>
      </c>
      <c r="K47" s="62">
        <f>$P35</f>
        <v>0</v>
      </c>
      <c r="L47" s="62">
        <f>$E19</f>
        <v>3516.078125</v>
      </c>
      <c r="M47" s="62">
        <f>$E19</f>
        <v>3516.078125</v>
      </c>
      <c r="N47" s="62">
        <f>$E19</f>
        <v>3516.078125</v>
      </c>
    </row>
    <row r="48" spans="1:14" x14ac:dyDescent="0.25">
      <c r="J48" s="62" t="s">
        <v>96</v>
      </c>
      <c r="K48" s="62">
        <f>$E20</f>
        <v>7000</v>
      </c>
      <c r="L48" s="62">
        <f>$E20</f>
        <v>7000</v>
      </c>
      <c r="M48" s="62">
        <f>$E20</f>
        <v>7000</v>
      </c>
      <c r="N48" s="62">
        <v>0</v>
      </c>
    </row>
    <row r="49" spans="2:16" x14ac:dyDescent="0.25">
      <c r="J49" s="62"/>
      <c r="K49" s="62"/>
      <c r="L49" s="62"/>
      <c r="M49" s="62"/>
      <c r="N49" s="62"/>
    </row>
    <row r="50" spans="2:16" x14ac:dyDescent="0.25">
      <c r="J50" s="70" t="s">
        <v>14</v>
      </c>
      <c r="K50" s="70">
        <f>SUM(K45:K48)</f>
        <v>7995</v>
      </c>
      <c r="L50" s="70">
        <f t="shared" ref="L50:N50" si="3">SUM(L45:L48)</f>
        <v>11511.078125</v>
      </c>
      <c r="M50" s="70">
        <f t="shared" si="3"/>
        <v>11511.078125</v>
      </c>
      <c r="N50" s="70">
        <f t="shared" si="3"/>
        <v>4511.078125</v>
      </c>
    </row>
    <row r="52" spans="2:16" x14ac:dyDescent="0.25">
      <c r="B52" s="68" t="s">
        <v>119</v>
      </c>
      <c r="C52" s="68"/>
      <c r="D52" s="68"/>
      <c r="E52" s="68" t="s">
        <v>120</v>
      </c>
      <c r="F52" s="68"/>
      <c r="G52" s="68"/>
      <c r="H52" s="68" t="s">
        <v>121</v>
      </c>
      <c r="I52" s="68"/>
    </row>
    <row r="53" spans="2:16" x14ac:dyDescent="0.25">
      <c r="B53" s="62"/>
      <c r="C53" s="69" t="s">
        <v>122</v>
      </c>
      <c r="D53" s="69"/>
      <c r="E53" s="69" t="s">
        <v>116</v>
      </c>
      <c r="F53" s="69"/>
      <c r="G53" s="69"/>
      <c r="H53" s="69" t="s">
        <v>123</v>
      </c>
    </row>
    <row r="54" spans="2:16" x14ac:dyDescent="0.25">
      <c r="B54" s="62" t="s">
        <v>68</v>
      </c>
      <c r="C54" s="62">
        <f>SUMPRODUCT(K45:K48,C35:C38)/K50</f>
        <v>130.38936835522202</v>
      </c>
      <c r="E54" s="62">
        <f>SUMPRODUCT(C54:C57,M17:M20)</f>
        <v>974055.31259063992</v>
      </c>
      <c r="F54" s="62"/>
      <c r="G54" s="62"/>
      <c r="H54" s="62">
        <f>M17*C54/$E$54</f>
        <v>1.3386238611894922E-7</v>
      </c>
    </row>
    <row r="55" spans="2:16" x14ac:dyDescent="0.25">
      <c r="B55" s="62" t="s">
        <v>66</v>
      </c>
      <c r="C55" s="62">
        <f>SUMPRODUCT(L45:L48,D35:D38)/L50</f>
        <v>223.11072132958873</v>
      </c>
      <c r="E55" s="62"/>
      <c r="F55" s="62"/>
      <c r="G55" s="62"/>
      <c r="H55" s="62">
        <f>M18*C55/$E$54</f>
        <v>2.2905344126320068E-7</v>
      </c>
    </row>
    <row r="56" spans="2:16" x14ac:dyDescent="0.25">
      <c r="B56" s="62" t="s">
        <v>64</v>
      </c>
      <c r="C56" s="62">
        <f>SUMPRODUCT(M45:M48,E35:E38)/M50</f>
        <v>137.71072132958875</v>
      </c>
      <c r="E56" s="62"/>
      <c r="F56" s="62"/>
      <c r="G56" s="62"/>
      <c r="H56" s="62">
        <f>M19*C56/$E$54</f>
        <v>0.52310137045945682</v>
      </c>
    </row>
    <row r="57" spans="2:16" x14ac:dyDescent="0.25">
      <c r="B57" s="62" t="s">
        <v>96</v>
      </c>
      <c r="C57" s="62">
        <f>SUMPRODUCT(N45:N48,F35:F38)/N50</f>
        <v>116.13132254276798</v>
      </c>
      <c r="E57" s="62"/>
      <c r="F57" s="62"/>
      <c r="G57" s="62"/>
      <c r="H57" s="62">
        <f>M20*C57/$E$54</f>
        <v>0.47689826662471579</v>
      </c>
    </row>
    <row r="59" spans="2:16" x14ac:dyDescent="0.25">
      <c r="B59" s="68" t="s">
        <v>124</v>
      </c>
      <c r="C59" s="68"/>
      <c r="D59" s="68"/>
      <c r="E59" s="68"/>
      <c r="F59" s="68"/>
      <c r="G59" s="68"/>
      <c r="J59" s="68" t="s">
        <v>125</v>
      </c>
      <c r="K59" s="68"/>
      <c r="L59" s="68"/>
      <c r="M59" s="68"/>
      <c r="N59" s="68" t="s">
        <v>126</v>
      </c>
      <c r="O59" s="68"/>
    </row>
    <row r="60" spans="2:16" x14ac:dyDescent="0.25">
      <c r="J60" s="71" t="s">
        <v>127</v>
      </c>
    </row>
    <row r="61" spans="2:16" x14ac:dyDescent="0.25">
      <c r="B61" s="69" t="s">
        <v>26</v>
      </c>
      <c r="C61" s="69" t="s">
        <v>128</v>
      </c>
      <c r="D61" s="69" t="s">
        <v>129</v>
      </c>
      <c r="E61" s="69" t="s">
        <v>130</v>
      </c>
      <c r="F61" s="69" t="s">
        <v>131</v>
      </c>
      <c r="J61" s="72" t="s">
        <v>132</v>
      </c>
      <c r="K61" s="69" t="s">
        <v>133</v>
      </c>
      <c r="L61" s="69" t="s">
        <v>134</v>
      </c>
      <c r="N61" s="69" t="s">
        <v>135</v>
      </c>
      <c r="O61" s="69" t="s">
        <v>136</v>
      </c>
    </row>
    <row r="62" spans="2:16" x14ac:dyDescent="0.25">
      <c r="B62" s="62" t="s">
        <v>70</v>
      </c>
      <c r="C62" s="62">
        <f>H44</f>
        <v>2.1796095713954879E-2</v>
      </c>
      <c r="D62" s="62">
        <f>E27</f>
        <v>152.4323767529157</v>
      </c>
      <c r="E62" s="62">
        <f>C62*$D$62</f>
        <v>3.3224306736121814</v>
      </c>
      <c r="F62" s="62">
        <f>E62/E17</f>
        <v>1.5821098445772293E-2</v>
      </c>
      <c r="G62" s="62"/>
      <c r="J62" s="62" t="s">
        <v>137</v>
      </c>
      <c r="K62" s="62">
        <f>IF(J62="yes",F62*0,F62)</f>
        <v>1.5821098445772293E-2</v>
      </c>
      <c r="L62" s="62">
        <f>K62*E17</f>
        <v>3.3224306736121814</v>
      </c>
      <c r="M62" s="62"/>
      <c r="N62" s="62">
        <f>K62*$E$67/$L$67</f>
        <v>2.9929754606501786E-2</v>
      </c>
      <c r="O62" s="62">
        <f>N62*E17</f>
        <v>6.285248467365375</v>
      </c>
      <c r="P62" s="62"/>
    </row>
    <row r="63" spans="2:16" x14ac:dyDescent="0.25">
      <c r="B63" s="62" t="s">
        <v>73</v>
      </c>
      <c r="C63" s="62">
        <f>H45</f>
        <v>4.8909360866443534E-2</v>
      </c>
      <c r="D63" s="62"/>
      <c r="E63" s="62">
        <f>C63*$D$62</f>
        <v>7.4553701223380324</v>
      </c>
      <c r="F63" s="62">
        <f>E63/E18</f>
        <v>9.4972867800484449E-3</v>
      </c>
      <c r="G63" s="62"/>
      <c r="J63" s="62" t="s">
        <v>137</v>
      </c>
      <c r="K63" s="62">
        <f>IF(J63="yes",F63*0,F63)</f>
        <v>9.4972867800484449E-3</v>
      </c>
      <c r="L63" s="62">
        <f>K63*E18</f>
        <v>7.4553701223380324</v>
      </c>
      <c r="M63" s="62"/>
      <c r="N63" s="62">
        <f>K63*$E$67/$L$67</f>
        <v>1.7966607295233729E-2</v>
      </c>
      <c r="O63" s="62">
        <f>N63*E18</f>
        <v>14.103786726758484</v>
      </c>
      <c r="P63" s="62"/>
    </row>
    <row r="64" spans="2:16" x14ac:dyDescent="0.25">
      <c r="B64" s="62" t="s">
        <v>68</v>
      </c>
      <c r="C64" s="62">
        <f>H46</f>
        <v>0.45790223345176112</v>
      </c>
      <c r="D64" s="62"/>
      <c r="E64" s="62">
        <f>C64*$D$62</f>
        <v>69.799125765520415</v>
      </c>
      <c r="F64" s="62">
        <f>E64/E19</f>
        <v>1.9851414924268902E-2</v>
      </c>
      <c r="G64" s="62"/>
      <c r="J64" s="62" t="s">
        <v>137</v>
      </c>
      <c r="K64" s="62">
        <f>IF(J64="yes",F64*0,F64)</f>
        <v>1.9851414924268902E-2</v>
      </c>
      <c r="L64" s="62">
        <f>K64*E19</f>
        <v>69.799125765520415</v>
      </c>
      <c r="M64" s="62"/>
      <c r="N64" s="62">
        <f>K64*$E$67/$L$67</f>
        <v>3.7554154619016573E-2</v>
      </c>
      <c r="O64" s="62">
        <f>N64*E19</f>
        <v>132.04334155879189</v>
      </c>
      <c r="P64" s="62"/>
    </row>
    <row r="65" spans="1:16" x14ac:dyDescent="0.25">
      <c r="B65" s="62" t="s">
        <v>96</v>
      </c>
      <c r="C65" s="62">
        <f>H47</f>
        <v>0.47139230996784048</v>
      </c>
      <c r="D65" s="62"/>
      <c r="E65" s="62">
        <f>C65*$D$62</f>
        <v>71.855450191445087</v>
      </c>
      <c r="F65" s="62">
        <f>E65/E20</f>
        <v>1.0265064313063585E-2</v>
      </c>
      <c r="G65" s="62"/>
      <c r="J65" s="62" t="s">
        <v>138</v>
      </c>
      <c r="K65" s="62">
        <f>IF(J65="yes",F65*0,F65)</f>
        <v>0</v>
      </c>
      <c r="L65" s="62">
        <f>K65*E20</f>
        <v>0</v>
      </c>
      <c r="M65" s="62"/>
      <c r="N65" s="62">
        <f>K65*$E$67/$L$67</f>
        <v>0</v>
      </c>
      <c r="O65" s="62">
        <f>N65*E20</f>
        <v>0</v>
      </c>
      <c r="P65" s="62"/>
    </row>
    <row r="66" spans="1:16" x14ac:dyDescent="0.25">
      <c r="B66" s="62"/>
      <c r="C66" s="62"/>
      <c r="D66" s="62"/>
      <c r="E66" s="62"/>
      <c r="F66" s="62"/>
      <c r="G66" s="62"/>
      <c r="J66" s="62"/>
      <c r="K66" s="62"/>
      <c r="L66" s="62"/>
      <c r="M66" s="62"/>
      <c r="N66" s="62"/>
      <c r="O66" s="62"/>
      <c r="P66" s="62"/>
    </row>
    <row r="67" spans="1:16" x14ac:dyDescent="0.25">
      <c r="E67" s="73">
        <f>SUM(E62:E65)</f>
        <v>152.43237675291573</v>
      </c>
      <c r="L67" s="73">
        <f>SUM(L62:L65)</f>
        <v>80.576926561470628</v>
      </c>
      <c r="O67" s="73">
        <f>SUM(O62:O65)</f>
        <v>152.43237675291576</v>
      </c>
    </row>
    <row r="70" spans="1:16" x14ac:dyDescent="0.25">
      <c r="B70" s="68" t="s">
        <v>139</v>
      </c>
      <c r="C70" s="68"/>
      <c r="D70" s="68"/>
      <c r="E70" s="68"/>
      <c r="F70" s="68"/>
      <c r="G70" s="68"/>
      <c r="J70" s="68" t="s">
        <v>140</v>
      </c>
      <c r="K70" s="68"/>
      <c r="L70" s="68"/>
      <c r="M70" s="68"/>
      <c r="N70" s="68" t="s">
        <v>141</v>
      </c>
      <c r="O70" s="68"/>
    </row>
    <row r="71" spans="1:16" x14ac:dyDescent="0.25">
      <c r="J71" s="71" t="s">
        <v>142</v>
      </c>
    </row>
    <row r="72" spans="1:16" x14ac:dyDescent="0.25">
      <c r="B72" s="69" t="s">
        <v>8</v>
      </c>
      <c r="C72" s="69" t="s">
        <v>143</v>
      </c>
      <c r="D72" s="69" t="s">
        <v>144</v>
      </c>
      <c r="E72" s="69" t="s">
        <v>145</v>
      </c>
      <c r="F72" s="69" t="s">
        <v>146</v>
      </c>
      <c r="J72" s="72" t="s">
        <v>132</v>
      </c>
      <c r="K72" s="69" t="s">
        <v>147</v>
      </c>
      <c r="L72" s="69" t="s">
        <v>148</v>
      </c>
      <c r="N72" s="69" t="s">
        <v>149</v>
      </c>
      <c r="O72" s="69" t="s">
        <v>150</v>
      </c>
    </row>
    <row r="73" spans="1:16" x14ac:dyDescent="0.25">
      <c r="B73" s="62" t="s">
        <v>68</v>
      </c>
      <c r="C73" s="62">
        <f>H54</f>
        <v>1.3386238611894922E-7</v>
      </c>
      <c r="D73" s="62">
        <f>E28</f>
        <v>152.4323767529157</v>
      </c>
      <c r="E73" s="62">
        <f>C73*$D$73</f>
        <v>2.0404961673927939E-5</v>
      </c>
      <c r="F73" s="62">
        <f>E73/M17</f>
        <v>2.040496167392794E-2</v>
      </c>
      <c r="G73" s="62"/>
      <c r="J73" s="62" t="s">
        <v>137</v>
      </c>
      <c r="K73" s="62">
        <f>IF(J73="yes",F73*0,F73)</f>
        <v>2.040496167392794E-2</v>
      </c>
      <c r="L73" s="62">
        <f>K73*M17</f>
        <v>2.0404961673927939E-5</v>
      </c>
      <c r="M73" s="62"/>
      <c r="N73" s="62">
        <f>K73*$E$78/$L$78</f>
        <v>3.9007635364283894E-2</v>
      </c>
      <c r="O73" s="62">
        <f>N73*M17</f>
        <v>3.9007635364283891E-5</v>
      </c>
      <c r="P73" s="62"/>
    </row>
    <row r="74" spans="1:16" x14ac:dyDescent="0.25">
      <c r="B74" s="62" t="s">
        <v>66</v>
      </c>
      <c r="C74" s="62">
        <f>H55</f>
        <v>2.2905344126320068E-7</v>
      </c>
      <c r="D74" s="62"/>
      <c r="E74" s="62">
        <f>C74*$D$73</f>
        <v>3.4915160455184052E-5</v>
      </c>
      <c r="F74" s="62">
        <f>E74/M18</f>
        <v>3.4915160455184051E-2</v>
      </c>
      <c r="G74" s="62"/>
      <c r="J74" s="62" t="s">
        <v>137</v>
      </c>
      <c r="K74" s="62">
        <f>IF(J74="yes",F74*0,F74)</f>
        <v>3.4915160455184051E-2</v>
      </c>
      <c r="L74" s="62">
        <f>K74*M18</f>
        <v>3.4915160455184052E-5</v>
      </c>
      <c r="M74" s="62"/>
      <c r="N74" s="62">
        <f>K74*$E$78/$L$78</f>
        <v>6.6746405579457685E-2</v>
      </c>
      <c r="O74" s="62">
        <f>N74*M18</f>
        <v>6.6746405579457688E-5</v>
      </c>
      <c r="P74" s="62"/>
    </row>
    <row r="75" spans="1:16" x14ac:dyDescent="0.25">
      <c r="B75" s="62" t="s">
        <v>64</v>
      </c>
      <c r="C75" s="62">
        <f>H56</f>
        <v>0.52310137045945682</v>
      </c>
      <c r="D75" s="62"/>
      <c r="E75" s="62">
        <f>C75*$D$73</f>
        <v>79.737585181842448</v>
      </c>
      <c r="F75" s="62">
        <f>E75/M19</f>
        <v>2.1550698697795256E-2</v>
      </c>
      <c r="G75" s="62"/>
      <c r="J75" s="62" t="s">
        <v>137</v>
      </c>
      <c r="K75" s="62">
        <f>IF(J75="yes",F75*0,F75)</f>
        <v>2.1550698697795256E-2</v>
      </c>
      <c r="L75" s="62">
        <f>K75*M19</f>
        <v>79.737585181842448</v>
      </c>
      <c r="M75" s="62"/>
      <c r="N75" s="62">
        <f>K75*$E$78/$L$78</f>
        <v>4.1197911080776965E-2</v>
      </c>
      <c r="O75" s="62">
        <f>N75*M19</f>
        <v>152.43227099887477</v>
      </c>
      <c r="P75" s="62"/>
    </row>
    <row r="76" spans="1:16" x14ac:dyDescent="0.25">
      <c r="B76" s="62" t="s">
        <v>96</v>
      </c>
      <c r="C76" s="62">
        <f>H57</f>
        <v>0.47689826662471579</v>
      </c>
      <c r="D76" s="62"/>
      <c r="E76" s="62">
        <f>C76*$D$73</f>
        <v>72.694736250951124</v>
      </c>
      <c r="F76" s="62">
        <f>E76/M20</f>
        <v>1.8173684062737779E-2</v>
      </c>
      <c r="G76" s="62"/>
      <c r="J76" s="62" t="s">
        <v>138</v>
      </c>
      <c r="K76" s="62">
        <f>IF(J76="yes",F76*0,F76)</f>
        <v>0</v>
      </c>
      <c r="L76" s="62">
        <f>K76*M20</f>
        <v>0</v>
      </c>
      <c r="M76" s="62"/>
      <c r="N76" s="62">
        <f>K76*$E$78/$L$78</f>
        <v>0</v>
      </c>
      <c r="O76" s="62">
        <f>N76*M20</f>
        <v>0</v>
      </c>
      <c r="P76" s="62"/>
    </row>
    <row r="77" spans="1:16" x14ac:dyDescent="0.25">
      <c r="B77" s="62"/>
      <c r="C77" s="62"/>
      <c r="D77" s="62"/>
      <c r="E77" s="62"/>
      <c r="F77" s="62"/>
      <c r="G77" s="62"/>
      <c r="J77" s="62"/>
      <c r="K77" s="62"/>
      <c r="L77" s="62"/>
      <c r="M77" s="62"/>
      <c r="N77" s="62"/>
      <c r="O77" s="62"/>
      <c r="P77" s="62"/>
    </row>
    <row r="78" spans="1:16" x14ac:dyDescent="0.25">
      <c r="E78" s="73">
        <f>SUM(E73:E76)</f>
        <v>152.4323767529157</v>
      </c>
      <c r="L78" s="73">
        <f>SUM(L73:L76)</f>
        <v>79.737640501964577</v>
      </c>
      <c r="O78" s="73">
        <f>SUM(O73:O76)</f>
        <v>152.4323767529157</v>
      </c>
    </row>
    <row r="80" spans="1:16" ht="18.75" x14ac:dyDescent="0.3">
      <c r="A80" s="58" t="s">
        <v>151</v>
      </c>
    </row>
    <row r="81" spans="2:12" ht="15" customHeight="1" x14ac:dyDescent="0.25"/>
    <row r="82" spans="2:12" ht="15" customHeight="1" x14ac:dyDescent="0.25">
      <c r="B82" s="68" t="s">
        <v>152</v>
      </c>
      <c r="J82" s="68" t="s">
        <v>153</v>
      </c>
    </row>
    <row r="83" spans="2:12" x14ac:dyDescent="0.25">
      <c r="B83" s="69" t="s">
        <v>154</v>
      </c>
      <c r="C83" s="69" t="s">
        <v>155</v>
      </c>
      <c r="D83" s="69" t="s">
        <v>156</v>
      </c>
      <c r="E83" s="69" t="s">
        <v>156</v>
      </c>
      <c r="F83" s="69" t="s">
        <v>155</v>
      </c>
      <c r="G83" s="74"/>
      <c r="J83" s="75" t="s">
        <v>157</v>
      </c>
      <c r="K83" s="75"/>
      <c r="L83" s="75"/>
    </row>
    <row r="84" spans="2:12" ht="15" customHeight="1" x14ac:dyDescent="0.25">
      <c r="B84" s="62"/>
      <c r="C84" s="62" t="s">
        <v>64</v>
      </c>
      <c r="D84" s="62" t="s">
        <v>68</v>
      </c>
      <c r="E84" s="62" t="s">
        <v>66</v>
      </c>
      <c r="F84" s="62" t="s">
        <v>96</v>
      </c>
      <c r="G84" s="74"/>
      <c r="J84" s="74"/>
      <c r="K84" s="69" t="s">
        <v>158</v>
      </c>
      <c r="L84" s="69" t="s">
        <v>159</v>
      </c>
    </row>
    <row r="85" spans="2:12" x14ac:dyDescent="0.25">
      <c r="B85" s="69" t="s">
        <v>160</v>
      </c>
      <c r="C85" s="62">
        <f>M19</f>
        <v>3700</v>
      </c>
      <c r="D85" s="62">
        <f>M17</f>
        <v>1E-3</v>
      </c>
      <c r="E85" s="62">
        <f>M18</f>
        <v>1E-3</v>
      </c>
      <c r="F85" s="62">
        <f>M20</f>
        <v>4000</v>
      </c>
      <c r="G85" s="74"/>
      <c r="J85" s="76" t="s">
        <v>70</v>
      </c>
      <c r="K85" s="62">
        <f>(K37*E35+K38*F35)/SUM(K37,K38)</f>
        <v>142.10389610389609</v>
      </c>
      <c r="L85" s="62">
        <f>(K35*C35+K36*D35)/SUM(K35,K36)</f>
        <v>212.6</v>
      </c>
    </row>
    <row r="86" spans="2:12" x14ac:dyDescent="0.25">
      <c r="B86" s="69" t="s">
        <v>161</v>
      </c>
      <c r="C86" s="62">
        <f>C85*C56</f>
        <v>509529.66891947837</v>
      </c>
      <c r="D86" s="62">
        <f>D85*C54</f>
        <v>0.13038936835522202</v>
      </c>
      <c r="E86" s="62">
        <f>E85*C55</f>
        <v>0.22311072132958873</v>
      </c>
      <c r="F86" s="62">
        <f>F85*C57</f>
        <v>464525.29017107189</v>
      </c>
      <c r="G86" s="74"/>
      <c r="J86" s="76" t="s">
        <v>73</v>
      </c>
      <c r="K86" s="62">
        <f>(L37*E36+L38*F36)/SUM(L37,L38)</f>
        <v>85.303896103896108</v>
      </c>
      <c r="L86" s="62">
        <f>(L35*C36+L36*D36)/SUM(L35,L36)</f>
        <v>155.79999999999998</v>
      </c>
    </row>
    <row r="87" spans="2:12" x14ac:dyDescent="0.25">
      <c r="J87" s="76" t="s">
        <v>68</v>
      </c>
      <c r="K87" s="62">
        <f>(M37*E37+M38*F37)/SUM(M37,M38)</f>
        <v>178.30389610389611</v>
      </c>
      <c r="L87" s="62">
        <f>(M35*C37+M36*D37)/SUM(M35,M36)</f>
        <v>311.59999999999997</v>
      </c>
    </row>
    <row r="88" spans="2:12" ht="35.25" customHeight="1" x14ac:dyDescent="0.25">
      <c r="C88" s="62" t="s">
        <v>162</v>
      </c>
      <c r="J88" s="76" t="s">
        <v>96</v>
      </c>
      <c r="K88" s="62">
        <f>(N37*E38+N38*F38)/SUM(N37,N38)</f>
        <v>92.2</v>
      </c>
      <c r="L88" s="62">
        <f>(N35*C38+N36*D38)/SUM(N35,N36)</f>
        <v>155.79999999999998</v>
      </c>
    </row>
    <row r="89" spans="2:12" x14ac:dyDescent="0.25">
      <c r="B89" s="68" t="s">
        <v>163</v>
      </c>
      <c r="J89" s="68" t="s">
        <v>164</v>
      </c>
      <c r="K89" s="62"/>
      <c r="L89" s="62"/>
    </row>
    <row r="90" spans="2:12" ht="23.25" customHeight="1" x14ac:dyDescent="0.25">
      <c r="C90" s="76" t="s">
        <v>165</v>
      </c>
      <c r="D90" s="76" t="s">
        <v>166</v>
      </c>
      <c r="E90" s="76" t="s">
        <v>167</v>
      </c>
      <c r="F90" s="76" t="s">
        <v>168</v>
      </c>
      <c r="G90" s="76" t="s">
        <v>169</v>
      </c>
      <c r="J90" s="76" t="s">
        <v>170</v>
      </c>
      <c r="K90" s="62">
        <f>SUMPRODUCT(C91:C94,N62:N65)</f>
        <v>2.6484465676913428E-5</v>
      </c>
      <c r="L90" s="62"/>
    </row>
    <row r="91" spans="2:12" ht="22.5" customHeight="1" x14ac:dyDescent="0.25">
      <c r="B91" s="76" t="s">
        <v>70</v>
      </c>
      <c r="C91" s="62">
        <f>SUM($D$85:$E$85)/SUM($E$17:$E$20)*E17</f>
        <v>3.648659104205324E-5</v>
      </c>
      <c r="D91" s="62" t="s">
        <v>171</v>
      </c>
      <c r="E91" s="62">
        <f>E17-C91</f>
        <v>209.99996351340897</v>
      </c>
      <c r="F91" s="62">
        <f>C91*L85</f>
        <v>7.7570492555405187E-3</v>
      </c>
      <c r="G91" s="62">
        <f>E91*K85</f>
        <v>29841.81299693144</v>
      </c>
      <c r="J91" s="76" t="s">
        <v>172</v>
      </c>
      <c r="K91" s="62">
        <f>E27-K90</f>
        <v>152.43235026845002</v>
      </c>
      <c r="L91" s="62"/>
    </row>
    <row r="92" spans="2:12" ht="23.25" x14ac:dyDescent="0.25">
      <c r="B92" s="76" t="s">
        <v>73</v>
      </c>
      <c r="C92" s="62">
        <f>SUM($D$85:$E$85)/SUM($E$17:$E$20)*E18</f>
        <v>1.3639035222862765E-4</v>
      </c>
      <c r="D92" s="62" t="s">
        <v>171</v>
      </c>
      <c r="E92" s="62">
        <f>E18-C92</f>
        <v>784.99986360964806</v>
      </c>
      <c r="F92" s="62">
        <f>C92*L86</f>
        <v>2.1249616877220184E-2</v>
      </c>
      <c r="G92" s="62">
        <f>E92*K86</f>
        <v>66963.546806930026</v>
      </c>
      <c r="J92" s="76" t="s">
        <v>173</v>
      </c>
      <c r="K92" s="62">
        <f>D85*N73+E85*N74</f>
        <v>1.0575404094374158E-4</v>
      </c>
      <c r="L92" s="62"/>
    </row>
    <row r="93" spans="2:12" ht="23.25" x14ac:dyDescent="0.25">
      <c r="B93" s="76" t="s">
        <v>68</v>
      </c>
      <c r="C93" s="62">
        <f>SUM($D$85:$E$85)/SUM($E$17:$E$20)*E19</f>
        <v>6.109033553275445E-4</v>
      </c>
      <c r="D93" s="62" t="s">
        <v>171</v>
      </c>
      <c r="E93" s="62">
        <f>E19-C93</f>
        <v>3516.0775140966448</v>
      </c>
      <c r="F93" s="62">
        <f>C93*L87</f>
        <v>0.19035748552006285</v>
      </c>
      <c r="G93" s="62">
        <f>E93*K87</f>
        <v>626930.31976673345</v>
      </c>
      <c r="J93" s="76" t="s">
        <v>174</v>
      </c>
      <c r="K93" s="62">
        <f>E28-K92</f>
        <v>152.43227099887477</v>
      </c>
      <c r="L93" s="62"/>
    </row>
    <row r="94" spans="2:12" x14ac:dyDescent="0.25">
      <c r="B94" s="76" t="s">
        <v>96</v>
      </c>
      <c r="C94" s="62">
        <f>SUM($D$85:$E$85)/SUM($E$17:$E$20)*E20</f>
        <v>1.2162197014017747E-3</v>
      </c>
      <c r="D94" s="62" t="s">
        <v>171</v>
      </c>
      <c r="E94" s="62">
        <f>E20-C94</f>
        <v>6999.9987837802983</v>
      </c>
      <c r="F94" s="62">
        <f>C94*L88</f>
        <v>0.18948702947839649</v>
      </c>
      <c r="G94" s="62">
        <f>E94*K88</f>
        <v>645399.88786454347</v>
      </c>
      <c r="H94" s="69"/>
      <c r="J94" s="77" t="s">
        <v>175</v>
      </c>
      <c r="K94" s="62">
        <f>K91+K93</f>
        <v>304.86462126732476</v>
      </c>
      <c r="L94" s="62"/>
    </row>
    <row r="95" spans="2:12" x14ac:dyDescent="0.25">
      <c r="B95" s="76"/>
      <c r="C95" s="62"/>
      <c r="D95" s="62"/>
      <c r="E95" s="62"/>
      <c r="F95" s="62"/>
      <c r="G95" s="62"/>
      <c r="J95" s="77" t="s">
        <v>176</v>
      </c>
      <c r="K95" s="62">
        <f>K90+K92</f>
        <v>1.32238506620655E-4</v>
      </c>
      <c r="L95" s="62"/>
    </row>
    <row r="96" spans="2:12" x14ac:dyDescent="0.25">
      <c r="B96" s="76" t="s">
        <v>177</v>
      </c>
      <c r="C96" s="62">
        <f>SUM(C91:C94)</f>
        <v>2E-3</v>
      </c>
      <c r="D96" s="62"/>
      <c r="E96" s="62">
        <f>SUM(E91:E94)</f>
        <v>11511.076125</v>
      </c>
      <c r="F96" s="62">
        <f>SUM(F91:F94)</f>
        <v>0.40885118113122004</v>
      </c>
      <c r="G96" s="62">
        <f>SUM(G91:G94)</f>
        <v>1369135.5674351384</v>
      </c>
    </row>
    <row r="97" spans="2:12" x14ac:dyDescent="0.25">
      <c r="B97" s="76"/>
      <c r="C97" s="62"/>
      <c r="D97" s="62"/>
      <c r="E97" s="62"/>
      <c r="F97" s="62"/>
      <c r="G97" s="62"/>
    </row>
    <row r="98" spans="2:12" x14ac:dyDescent="0.25">
      <c r="B98" s="76" t="s">
        <v>178</v>
      </c>
      <c r="C98" s="62">
        <f>SUM(D85:E85)</f>
        <v>2E-3</v>
      </c>
      <c r="D98" s="62"/>
      <c r="E98" s="62"/>
      <c r="F98" s="62"/>
      <c r="G98" s="62"/>
    </row>
    <row r="99" spans="2:12" x14ac:dyDescent="0.25">
      <c r="B99" s="76"/>
    </row>
    <row r="100" spans="2:12" x14ac:dyDescent="0.25">
      <c r="B100" s="76"/>
    </row>
    <row r="101" spans="2:12" x14ac:dyDescent="0.25">
      <c r="B101" s="68" t="s">
        <v>179</v>
      </c>
      <c r="J101" s="68" t="s">
        <v>180</v>
      </c>
    </row>
    <row r="102" spans="2:12" x14ac:dyDescent="0.25">
      <c r="B102" s="76" t="s">
        <v>169</v>
      </c>
      <c r="C102" s="78"/>
      <c r="D102" s="62">
        <f>G96</f>
        <v>1369135.5674351384</v>
      </c>
      <c r="E102" s="62"/>
      <c r="J102" s="79" t="s">
        <v>181</v>
      </c>
      <c r="K102" s="80"/>
      <c r="L102" s="81"/>
    </row>
    <row r="103" spans="2:12" ht="42" customHeight="1" x14ac:dyDescent="0.25">
      <c r="B103" s="76" t="s">
        <v>182</v>
      </c>
      <c r="C103" s="78"/>
      <c r="D103" s="62">
        <f>C86+F86</f>
        <v>974054.9590905502</v>
      </c>
      <c r="E103" s="62"/>
      <c r="J103" s="82" t="s">
        <v>183</v>
      </c>
      <c r="K103" s="83">
        <f>K94*10^6/D104</f>
        <v>130.10662932277884</v>
      </c>
      <c r="L103" s="84" t="s">
        <v>184</v>
      </c>
    </row>
    <row r="104" spans="2:12" x14ac:dyDescent="0.25">
      <c r="B104" s="77" t="s">
        <v>185</v>
      </c>
      <c r="C104" s="78"/>
      <c r="D104" s="62">
        <f>SUM(D102:D103)</f>
        <v>2343190.5265256884</v>
      </c>
      <c r="E104" s="62"/>
      <c r="J104" s="82" t="s">
        <v>186</v>
      </c>
      <c r="K104" s="83">
        <f>K95*10^6/D107</f>
        <v>173.46138411903635</v>
      </c>
      <c r="L104" s="84" t="s">
        <v>187</v>
      </c>
    </row>
    <row r="105" spans="2:12" ht="15" customHeight="1" x14ac:dyDescent="0.25">
      <c r="B105" s="76" t="s">
        <v>188</v>
      </c>
      <c r="C105" s="78"/>
      <c r="D105" s="62">
        <f>F96</f>
        <v>0.40885118113122004</v>
      </c>
      <c r="E105" s="62"/>
      <c r="J105" s="82" t="s">
        <v>189</v>
      </c>
      <c r="K105" s="85">
        <f>2*(ABS(K103-K104))/(K103+K104)</f>
        <v>0.28563453905901914</v>
      </c>
      <c r="L105" s="84" t="s">
        <v>190</v>
      </c>
    </row>
    <row r="106" spans="2:12" ht="15" customHeight="1" x14ac:dyDescent="0.25">
      <c r="B106" s="76" t="s">
        <v>191</v>
      </c>
      <c r="C106" s="78"/>
      <c r="D106" s="62">
        <f>SUM(D86:E86)</f>
        <v>0.35350008968481073</v>
      </c>
      <c r="E106" s="62"/>
    </row>
    <row r="107" spans="2:12" ht="15" customHeight="1" x14ac:dyDescent="0.25">
      <c r="B107" s="77" t="s">
        <v>192</v>
      </c>
      <c r="C107" s="78"/>
      <c r="D107" s="62">
        <f>SUM(D105:D106)</f>
        <v>0.76235127081603071</v>
      </c>
      <c r="E107" s="62"/>
    </row>
    <row r="108" spans="2:12" ht="15" customHeight="1" x14ac:dyDescent="0.25">
      <c r="D108" s="62"/>
      <c r="E108" s="62"/>
    </row>
    <row r="109" spans="2:12" x14ac:dyDescent="0.25">
      <c r="D109" s="62"/>
      <c r="E109" s="62"/>
    </row>
  </sheetData>
  <conditionalFormatting sqref="K105">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P102"/>
  <sheetViews>
    <sheetView showGridLines="0" topLeftCell="A82" zoomScaleNormal="100" workbookViewId="0">
      <selection activeCell="A25" sqref="A25"/>
    </sheetView>
  </sheetViews>
  <sheetFormatPr defaultColWidth="9.140625" defaultRowHeight="15" x14ac:dyDescent="0.25"/>
  <cols>
    <col min="1" max="1" width="9.140625" style="53"/>
    <col min="2" max="2" width="14" style="53" customWidth="1"/>
    <col min="3" max="3" width="12.140625" style="53" customWidth="1"/>
    <col min="4" max="4" width="10.5703125" style="53" customWidth="1"/>
    <col min="5" max="5" width="12" style="53" customWidth="1"/>
    <col min="6" max="6" width="9.42578125" style="53" bestFit="1" customWidth="1"/>
    <col min="7" max="7" width="10" style="53" bestFit="1" customWidth="1"/>
    <col min="8" max="8" width="9.140625" style="53"/>
    <col min="9" max="9" width="13.42578125" style="53" customWidth="1"/>
    <col min="10" max="10" width="19.5703125" style="53" customWidth="1"/>
    <col min="11" max="14" width="9.42578125" style="53" bestFit="1" customWidth="1"/>
    <col min="15" max="16384" width="9.140625" style="53"/>
  </cols>
  <sheetData>
    <row r="1" spans="1:5" x14ac:dyDescent="0.25">
      <c r="A1" s="53" t="s">
        <v>86</v>
      </c>
    </row>
    <row r="2" spans="1:5" ht="15.75" x14ac:dyDescent="0.25">
      <c r="A2" s="54" t="s">
        <v>87</v>
      </c>
    </row>
    <row r="3" spans="1:5" x14ac:dyDescent="0.25">
      <c r="A3" s="55" t="s">
        <v>88</v>
      </c>
    </row>
    <row r="4" spans="1:5" x14ac:dyDescent="0.25">
      <c r="B4" s="56"/>
      <c r="C4" s="56"/>
      <c r="D4" s="56"/>
      <c r="E4" s="56"/>
    </row>
    <row r="5" spans="1:5" x14ac:dyDescent="0.25">
      <c r="A5" s="57" t="s">
        <v>89</v>
      </c>
      <c r="B5" s="55"/>
      <c r="C5" s="55"/>
      <c r="D5" s="55"/>
      <c r="E5" s="55"/>
    </row>
    <row r="14" spans="1:5" ht="18.75" x14ac:dyDescent="0.3">
      <c r="A14" s="58" t="s">
        <v>203</v>
      </c>
    </row>
    <row r="16" spans="1:5" x14ac:dyDescent="0.25">
      <c r="B16" s="69" t="s">
        <v>204</v>
      </c>
    </row>
    <row r="17" spans="1:14" x14ac:dyDescent="0.25">
      <c r="B17" s="69" t="s">
        <v>26</v>
      </c>
      <c r="C17" s="62" t="s">
        <v>92</v>
      </c>
      <c r="D17" s="62" t="s">
        <v>93</v>
      </c>
      <c r="E17" s="62" t="s">
        <v>205</v>
      </c>
      <c r="F17" s="62"/>
      <c r="J17" s="69" t="s">
        <v>8</v>
      </c>
      <c r="K17" s="62" t="s">
        <v>92</v>
      </c>
      <c r="L17" s="62" t="s">
        <v>93</v>
      </c>
      <c r="M17" s="62" t="s">
        <v>205</v>
      </c>
      <c r="N17" s="62"/>
    </row>
    <row r="18" spans="1:14" x14ac:dyDescent="0.25">
      <c r="A18" s="63" t="s">
        <v>95</v>
      </c>
      <c r="B18" s="62" t="s">
        <v>70</v>
      </c>
      <c r="C18" s="62">
        <v>0</v>
      </c>
      <c r="D18" s="62">
        <v>93</v>
      </c>
      <c r="E18" s="62">
        <f>'Forecasted Capacities'!L3</f>
        <v>2208.2499999999995</v>
      </c>
      <c r="F18" s="62"/>
      <c r="J18" s="62" t="s">
        <v>68</v>
      </c>
      <c r="K18" s="62">
        <v>56.8</v>
      </c>
      <c r="L18" s="62">
        <v>0</v>
      </c>
      <c r="M18" s="62">
        <f>'Forecasted Capacities'!D5</f>
        <v>1</v>
      </c>
      <c r="N18" s="63" t="s">
        <v>206</v>
      </c>
    </row>
    <row r="19" spans="1:14" x14ac:dyDescent="0.25">
      <c r="B19" s="62" t="s">
        <v>73</v>
      </c>
      <c r="C19" s="62">
        <v>56.8</v>
      </c>
      <c r="D19" s="62">
        <v>93</v>
      </c>
      <c r="E19" s="62">
        <f>'Forecasted Capacities'!L5</f>
        <v>4632</v>
      </c>
      <c r="F19" s="62"/>
      <c r="J19" s="62" t="s">
        <v>66</v>
      </c>
      <c r="K19" s="62">
        <v>275.39999999999998</v>
      </c>
      <c r="L19" s="62">
        <v>93</v>
      </c>
      <c r="M19" s="62">
        <f>'Forecasted Capacities'!D4</f>
        <v>1</v>
      </c>
      <c r="N19" s="62"/>
    </row>
    <row r="20" spans="1:14" x14ac:dyDescent="0.25">
      <c r="B20" s="62" t="s">
        <v>68</v>
      </c>
      <c r="C20" s="62">
        <v>56.8</v>
      </c>
      <c r="D20" s="62">
        <v>0</v>
      </c>
      <c r="E20" s="62">
        <f>'Forecasted Capacities'!L4</f>
        <v>31752.222695210487</v>
      </c>
      <c r="F20" s="62"/>
      <c r="J20" s="62" t="s">
        <v>64</v>
      </c>
      <c r="K20" s="62">
        <v>190</v>
      </c>
      <c r="L20" s="62">
        <v>93</v>
      </c>
      <c r="M20" s="62">
        <f>'Forecasted Capacities'!D3</f>
        <v>32801.983742960401</v>
      </c>
      <c r="N20" s="62"/>
    </row>
    <row r="21" spans="1:14" x14ac:dyDescent="0.25">
      <c r="B21" s="62" t="s">
        <v>96</v>
      </c>
      <c r="C21" s="62">
        <v>97.8</v>
      </c>
      <c r="D21" s="62">
        <v>93</v>
      </c>
      <c r="E21" s="62">
        <f>'Forecasted Capacities'!L6</f>
        <v>6000</v>
      </c>
      <c r="F21" s="62"/>
      <c r="J21" s="62" t="s">
        <v>96</v>
      </c>
      <c r="K21" s="62">
        <v>97.8</v>
      </c>
      <c r="L21" s="62">
        <v>93</v>
      </c>
      <c r="M21" s="62">
        <f>'Forecasted Capacities'!D6</f>
        <v>6000</v>
      </c>
      <c r="N21" s="62"/>
    </row>
    <row r="23" spans="1:14" x14ac:dyDescent="0.25">
      <c r="E23" s="73">
        <f>SUM(E18:E21)</f>
        <v>44592.472695210483</v>
      </c>
      <c r="M23" s="73">
        <f>SUM(M18:M21)</f>
        <v>38803.983742960401</v>
      </c>
    </row>
    <row r="24" spans="1:14" x14ac:dyDescent="0.25">
      <c r="B24" s="69" t="s">
        <v>97</v>
      </c>
    </row>
    <row r="25" spans="1:14" ht="15.75" x14ac:dyDescent="0.25">
      <c r="B25" s="54"/>
      <c r="C25" s="62" t="s">
        <v>98</v>
      </c>
      <c r="E25" s="62">
        <f>'15. Current tariff method 22'!B13+'15. Current tariff method 22'!B14</f>
        <v>435.52107643690204</v>
      </c>
    </row>
    <row r="26" spans="1:14" x14ac:dyDescent="0.25">
      <c r="A26" s="63" t="s">
        <v>99</v>
      </c>
      <c r="C26" s="62" t="s">
        <v>105</v>
      </c>
      <c r="E26" s="62">
        <f>'15. Current tariff method 22'!B13</f>
        <v>130.65632293107063</v>
      </c>
    </row>
    <row r="27" spans="1:14" x14ac:dyDescent="0.25">
      <c r="A27" s="63" t="s">
        <v>101</v>
      </c>
      <c r="C27" s="62" t="s">
        <v>102</v>
      </c>
      <c r="D27" s="62"/>
      <c r="E27" s="62">
        <v>0</v>
      </c>
    </row>
    <row r="28" spans="1:14" x14ac:dyDescent="0.25">
      <c r="A28" s="63" t="s">
        <v>101</v>
      </c>
      <c r="C28" s="62" t="s">
        <v>207</v>
      </c>
      <c r="D28" s="62"/>
      <c r="E28" s="62">
        <f>E26*E27</f>
        <v>0</v>
      </c>
    </row>
    <row r="29" spans="1:14" x14ac:dyDescent="0.25">
      <c r="C29" s="62" t="s">
        <v>208</v>
      </c>
      <c r="D29" s="62"/>
      <c r="E29" s="62">
        <f>E26-E28</f>
        <v>130.65632293107063</v>
      </c>
    </row>
    <row r="30" spans="1:14" x14ac:dyDescent="0.25">
      <c r="C30" s="62"/>
      <c r="E30" s="73"/>
    </row>
    <row r="33" spans="2:14" x14ac:dyDescent="0.25">
      <c r="B33" s="68" t="s">
        <v>106</v>
      </c>
      <c r="C33" s="62"/>
      <c r="D33" s="62"/>
      <c r="E33" s="62"/>
      <c r="F33" s="62"/>
      <c r="G33" s="62"/>
      <c r="H33" s="62"/>
      <c r="J33" s="68" t="s">
        <v>107</v>
      </c>
    </row>
    <row r="34" spans="2:14" x14ac:dyDescent="0.25">
      <c r="B34" s="69" t="s">
        <v>108</v>
      </c>
      <c r="C34" s="69" t="s">
        <v>8</v>
      </c>
      <c r="D34" s="62"/>
      <c r="E34" s="62"/>
      <c r="F34" s="62"/>
      <c r="G34" s="62"/>
      <c r="H34" s="62"/>
      <c r="J34" s="69" t="s">
        <v>209</v>
      </c>
      <c r="K34" s="62" t="s">
        <v>26</v>
      </c>
    </row>
    <row r="35" spans="2:14" x14ac:dyDescent="0.25">
      <c r="B35" s="69" t="s">
        <v>26</v>
      </c>
      <c r="C35" s="62" t="s">
        <v>68</v>
      </c>
      <c r="D35" s="62" t="s">
        <v>66</v>
      </c>
      <c r="E35" s="62" t="s">
        <v>64</v>
      </c>
      <c r="F35" s="62" t="s">
        <v>96</v>
      </c>
      <c r="G35" s="62"/>
      <c r="H35" s="62"/>
      <c r="J35" s="62" t="s">
        <v>8</v>
      </c>
      <c r="K35" s="62" t="s">
        <v>70</v>
      </c>
      <c r="L35" s="62" t="s">
        <v>73</v>
      </c>
      <c r="M35" s="62" t="s">
        <v>68</v>
      </c>
      <c r="N35" s="62" t="s">
        <v>96</v>
      </c>
    </row>
    <row r="36" spans="2:14" x14ac:dyDescent="0.25">
      <c r="B36" s="62" t="s">
        <v>70</v>
      </c>
      <c r="C36" s="62">
        <f>ABS(C20-C18)+ABS(D18-D20)</f>
        <v>149.80000000000001</v>
      </c>
      <c r="D36" s="62">
        <f>ABS(K19-C18)+ABS(L19-D18)</f>
        <v>275.39999999999998</v>
      </c>
      <c r="E36" s="62">
        <f>ABS(K20-C18)+ABS(L20-D18)</f>
        <v>190</v>
      </c>
      <c r="F36" s="62">
        <f>ABS(K21-C18)+ABS(L21-D18)</f>
        <v>97.8</v>
      </c>
      <c r="G36" s="62"/>
      <c r="H36" s="62"/>
      <c r="J36" s="62" t="s">
        <v>68</v>
      </c>
      <c r="K36" s="62">
        <f t="shared" ref="K36:L39" si="0">$M18</f>
        <v>1</v>
      </c>
      <c r="L36" s="62">
        <f t="shared" si="0"/>
        <v>1</v>
      </c>
      <c r="M36" s="62">
        <v>0</v>
      </c>
      <c r="N36" s="62">
        <f>$M18</f>
        <v>1</v>
      </c>
    </row>
    <row r="37" spans="2:14" x14ac:dyDescent="0.25">
      <c r="B37" s="62" t="s">
        <v>73</v>
      </c>
      <c r="C37" s="62">
        <f>ABS(C19-C20)+ABS(D19-D20)</f>
        <v>93</v>
      </c>
      <c r="D37" s="62">
        <f>ABS(K19-C19)+ABS(L19-D19)</f>
        <v>218.59999999999997</v>
      </c>
      <c r="E37" s="62">
        <f>ABS(K20-C19)+ABS(L20-D19)</f>
        <v>133.19999999999999</v>
      </c>
      <c r="F37" s="62">
        <f>ABS(K21-C19)+ABS(L21-D19)</f>
        <v>41</v>
      </c>
      <c r="G37" s="62"/>
      <c r="H37" s="62"/>
      <c r="J37" s="62" t="s">
        <v>66</v>
      </c>
      <c r="K37" s="62">
        <f t="shared" si="0"/>
        <v>1</v>
      </c>
      <c r="L37" s="62">
        <f t="shared" si="0"/>
        <v>1</v>
      </c>
      <c r="M37" s="62">
        <f>$M19</f>
        <v>1</v>
      </c>
      <c r="N37" s="62">
        <f>$M19</f>
        <v>1</v>
      </c>
    </row>
    <row r="38" spans="2:14" x14ac:dyDescent="0.25">
      <c r="B38" s="62" t="s">
        <v>68</v>
      </c>
      <c r="C38" s="62">
        <v>0</v>
      </c>
      <c r="D38" s="62">
        <f>ABS(K19-K18)+ABS(L19-L18)</f>
        <v>311.59999999999997</v>
      </c>
      <c r="E38" s="62">
        <f>ABS(K20-K18)+ABS(L20-L18)</f>
        <v>226.2</v>
      </c>
      <c r="F38" s="62">
        <f>ABS(K21-K18)+ABS(L21-L18)</f>
        <v>134</v>
      </c>
      <c r="G38" s="62"/>
      <c r="H38" s="62"/>
      <c r="I38" s="69"/>
      <c r="J38" s="62" t="s">
        <v>64</v>
      </c>
      <c r="K38" s="62">
        <f t="shared" si="0"/>
        <v>32801.983742960401</v>
      </c>
      <c r="L38" s="62">
        <f t="shared" si="0"/>
        <v>32801.983742960401</v>
      </c>
      <c r="M38" s="62">
        <f>$M20</f>
        <v>32801.983742960401</v>
      </c>
      <c r="N38" s="62">
        <f>$M20</f>
        <v>32801.983742960401</v>
      </c>
    </row>
    <row r="39" spans="2:14" x14ac:dyDescent="0.25">
      <c r="B39" s="62" t="s">
        <v>96</v>
      </c>
      <c r="C39" s="62">
        <f>ABS(C21-C20)+ABS(D21-D20)</f>
        <v>134</v>
      </c>
      <c r="D39" s="62">
        <f>ABS(K19-K21)+ABS(L19-L21)</f>
        <v>177.59999999999997</v>
      </c>
      <c r="E39" s="62">
        <f>ABS(K20-K21)+ABS(L20-L21)</f>
        <v>92.2</v>
      </c>
      <c r="F39" s="62">
        <v>0</v>
      </c>
      <c r="G39" s="62"/>
      <c r="H39" s="62"/>
      <c r="J39" s="62" t="s">
        <v>96</v>
      </c>
      <c r="K39" s="62">
        <f t="shared" si="0"/>
        <v>6000</v>
      </c>
      <c r="L39" s="62">
        <f t="shared" si="0"/>
        <v>6000</v>
      </c>
      <c r="M39" s="62">
        <f>$M21</f>
        <v>6000</v>
      </c>
      <c r="N39" s="62">
        <v>0</v>
      </c>
    </row>
    <row r="40" spans="2:14" x14ac:dyDescent="0.25">
      <c r="J40" s="62"/>
      <c r="K40" s="62"/>
      <c r="L40" s="62"/>
      <c r="M40" s="62"/>
      <c r="N40" s="62"/>
    </row>
    <row r="41" spans="2:14" x14ac:dyDescent="0.25">
      <c r="J41" s="70" t="s">
        <v>14</v>
      </c>
      <c r="K41" s="70">
        <f>SUM(K36:K39)</f>
        <v>38803.983742960401</v>
      </c>
      <c r="L41" s="70">
        <f t="shared" ref="L41:N41" si="1">SUM(L36:L39)</f>
        <v>38803.983742960401</v>
      </c>
      <c r="M41" s="70">
        <f t="shared" si="1"/>
        <v>38802.983742960401</v>
      </c>
      <c r="N41" s="70">
        <f t="shared" si="1"/>
        <v>32803.983742960401</v>
      </c>
    </row>
    <row r="43" spans="2:14" x14ac:dyDescent="0.25">
      <c r="B43" s="68" t="s">
        <v>110</v>
      </c>
      <c r="C43" s="68"/>
      <c r="D43" s="68"/>
      <c r="E43" s="68" t="s">
        <v>111</v>
      </c>
      <c r="F43" s="68"/>
      <c r="G43" s="68"/>
      <c r="H43" s="68"/>
      <c r="I43" s="68"/>
      <c r="J43" s="68" t="s">
        <v>193</v>
      </c>
      <c r="K43" s="68"/>
    </row>
    <row r="44" spans="2:14" x14ac:dyDescent="0.25">
      <c r="B44" s="62"/>
      <c r="C44" s="69" t="s">
        <v>115</v>
      </c>
      <c r="D44" s="69"/>
      <c r="E44" s="69" t="s">
        <v>116</v>
      </c>
      <c r="F44" s="62"/>
      <c r="G44" s="62"/>
      <c r="H44" s="69"/>
      <c r="I44" s="62"/>
      <c r="J44" s="69" t="s">
        <v>210</v>
      </c>
      <c r="K44" s="69" t="s">
        <v>8</v>
      </c>
    </row>
    <row r="45" spans="2:14" x14ac:dyDescent="0.25">
      <c r="B45" s="62" t="s">
        <v>70</v>
      </c>
      <c r="C45" s="62">
        <f>MMULT(C36:F36,K36:K39)/K41</f>
        <v>175.74489661514843</v>
      </c>
      <c r="D45" s="62"/>
      <c r="E45" s="62">
        <f>SUMPRODUCT(C45:C48,E18:E21)</f>
        <v>8222007.4815120772</v>
      </c>
      <c r="F45" s="62"/>
      <c r="G45" s="62"/>
      <c r="H45" s="62"/>
      <c r="I45" s="62"/>
      <c r="J45" s="69" t="s">
        <v>26</v>
      </c>
      <c r="K45" s="62" t="s">
        <v>68</v>
      </c>
      <c r="L45" s="62" t="s">
        <v>66</v>
      </c>
      <c r="M45" s="62" t="s">
        <v>64</v>
      </c>
      <c r="N45" s="62" t="s">
        <v>96</v>
      </c>
    </row>
    <row r="46" spans="2:14" x14ac:dyDescent="0.25">
      <c r="B46" s="62" t="s">
        <v>73</v>
      </c>
      <c r="C46" s="62">
        <f>MMULT(C37:F37,L36:L39)/L41</f>
        <v>118.94489661514842</v>
      </c>
      <c r="D46" s="62"/>
      <c r="E46" s="62"/>
      <c r="F46" s="62"/>
      <c r="G46" s="62"/>
      <c r="H46" s="62"/>
      <c r="I46" s="62"/>
      <c r="J46" s="62" t="s">
        <v>70</v>
      </c>
      <c r="K46" s="62">
        <f t="shared" ref="K46:N47" si="2">$E18</f>
        <v>2208.2499999999995</v>
      </c>
      <c r="L46" s="62">
        <f t="shared" si="2"/>
        <v>2208.2499999999995</v>
      </c>
      <c r="M46" s="62">
        <f t="shared" si="2"/>
        <v>2208.2499999999995</v>
      </c>
      <c r="N46" s="62">
        <f t="shared" si="2"/>
        <v>2208.2499999999995</v>
      </c>
    </row>
    <row r="47" spans="2:14" x14ac:dyDescent="0.25">
      <c r="B47" s="62" t="s">
        <v>68</v>
      </c>
      <c r="C47" s="62">
        <f>MMULT(C38:F38,M36:M39)/M41</f>
        <v>211.9455652466327</v>
      </c>
      <c r="D47" s="62"/>
      <c r="E47" s="62"/>
      <c r="F47" s="62"/>
      <c r="G47" s="62"/>
      <c r="H47" s="62"/>
      <c r="I47" s="62"/>
      <c r="J47" s="62" t="s">
        <v>73</v>
      </c>
      <c r="K47" s="62">
        <f t="shared" si="2"/>
        <v>4632</v>
      </c>
      <c r="L47" s="62">
        <f t="shared" si="2"/>
        <v>4632</v>
      </c>
      <c r="M47" s="62">
        <f t="shared" si="2"/>
        <v>4632</v>
      </c>
      <c r="N47" s="62">
        <f t="shared" si="2"/>
        <v>4632</v>
      </c>
    </row>
    <row r="48" spans="2:14" x14ac:dyDescent="0.25">
      <c r="B48" s="62" t="s">
        <v>96</v>
      </c>
      <c r="C48" s="62">
        <f>MMULT(C39:F39,N36:N39)/N41</f>
        <v>92.203877577827029</v>
      </c>
      <c r="D48" s="62"/>
      <c r="E48" s="62"/>
      <c r="F48" s="62"/>
      <c r="G48" s="62"/>
      <c r="H48" s="62"/>
      <c r="I48" s="62"/>
      <c r="J48" s="62" t="s">
        <v>68</v>
      </c>
      <c r="K48" s="62">
        <f>$P36</f>
        <v>0</v>
      </c>
      <c r="L48" s="62">
        <f>$E20</f>
        <v>31752.222695210487</v>
      </c>
      <c r="M48" s="62">
        <f>$E20</f>
        <v>31752.222695210487</v>
      </c>
      <c r="N48" s="62">
        <f>$E20</f>
        <v>31752.222695210487</v>
      </c>
    </row>
    <row r="49" spans="2:14" x14ac:dyDescent="0.25">
      <c r="J49" s="62" t="s">
        <v>96</v>
      </c>
      <c r="K49" s="62">
        <f>$E21</f>
        <v>6000</v>
      </c>
      <c r="L49" s="62">
        <f>$E21</f>
        <v>6000</v>
      </c>
      <c r="M49" s="62">
        <f>$E21</f>
        <v>6000</v>
      </c>
      <c r="N49" s="62">
        <v>0</v>
      </c>
    </row>
    <row r="50" spans="2:14" x14ac:dyDescent="0.25">
      <c r="J50" s="62"/>
      <c r="K50" s="62"/>
      <c r="L50" s="62"/>
      <c r="M50" s="62"/>
      <c r="N50" s="62"/>
    </row>
    <row r="51" spans="2:14" x14ac:dyDescent="0.25">
      <c r="J51" s="70" t="s">
        <v>14</v>
      </c>
      <c r="K51" s="70">
        <f>SUM(K46:K49)</f>
        <v>12840.25</v>
      </c>
      <c r="L51" s="70">
        <f t="shared" ref="L51:N51" si="3">SUM(L46:L49)</f>
        <v>44592.472695210483</v>
      </c>
      <c r="M51" s="70">
        <f t="shared" si="3"/>
        <v>44592.472695210483</v>
      </c>
      <c r="N51" s="70">
        <f t="shared" si="3"/>
        <v>38592.472695210483</v>
      </c>
    </row>
    <row r="53" spans="2:14" x14ac:dyDescent="0.25">
      <c r="B53" s="68" t="s">
        <v>194</v>
      </c>
      <c r="C53" s="68"/>
      <c r="D53" s="68"/>
      <c r="E53" s="68" t="s">
        <v>195</v>
      </c>
      <c r="F53" s="68"/>
      <c r="G53" s="68"/>
      <c r="H53" s="68"/>
      <c r="I53" s="68"/>
    </row>
    <row r="54" spans="2:14" x14ac:dyDescent="0.25">
      <c r="B54" s="62"/>
      <c r="C54" s="69" t="s">
        <v>122</v>
      </c>
      <c r="D54" s="69"/>
      <c r="E54" s="69" t="s">
        <v>116</v>
      </c>
      <c r="F54" s="69"/>
      <c r="G54" s="69"/>
      <c r="H54" s="69"/>
    </row>
    <row r="55" spans="2:14" x14ac:dyDescent="0.25">
      <c r="B55" s="62" t="s">
        <v>68</v>
      </c>
      <c r="C55" s="62">
        <f>SUMPRODUCT(K46:K49,C36:C39)/K51</f>
        <v>121.92689784077413</v>
      </c>
      <c r="E55" s="62">
        <f>SUMPRODUCT(C55:C58,M18:M21)</f>
        <v>7177714.5408535479</v>
      </c>
      <c r="F55" s="62"/>
      <c r="G55" s="62"/>
      <c r="H55" s="62"/>
    </row>
    <row r="56" spans="2:14" x14ac:dyDescent="0.25">
      <c r="B56" s="62" t="s">
        <v>66</v>
      </c>
      <c r="C56" s="62">
        <f>SUMPRODUCT(L46:L49,D36:D39)/L51</f>
        <v>282.11711711557075</v>
      </c>
      <c r="E56" s="62"/>
      <c r="F56" s="62"/>
      <c r="G56" s="62"/>
      <c r="H56" s="62"/>
    </row>
    <row r="57" spans="2:14" x14ac:dyDescent="0.25">
      <c r="B57" s="62" t="s">
        <v>64</v>
      </c>
      <c r="C57" s="62">
        <f>SUMPRODUCT(M46:M49,E36:E39)/M51</f>
        <v>196.71711711557074</v>
      </c>
      <c r="E57" s="62"/>
      <c r="F57" s="62"/>
      <c r="G57" s="62"/>
      <c r="H57" s="62"/>
    </row>
    <row r="58" spans="2:14" x14ac:dyDescent="0.25">
      <c r="B58" s="62" t="s">
        <v>96</v>
      </c>
      <c r="C58" s="62">
        <f>SUMPRODUCT(N46:N49,F36:F39)/N51</f>
        <v>120.76646987526711</v>
      </c>
      <c r="E58" s="62"/>
      <c r="F58" s="62"/>
      <c r="G58" s="62"/>
      <c r="H58" s="62"/>
    </row>
    <row r="63" spans="2:14" x14ac:dyDescent="0.25">
      <c r="B63" s="68" t="s">
        <v>211</v>
      </c>
      <c r="C63" s="68"/>
      <c r="D63" s="68"/>
      <c r="E63" s="68"/>
      <c r="F63" s="68"/>
      <c r="G63" s="68"/>
      <c r="H63" s="68"/>
      <c r="I63" s="68"/>
    </row>
    <row r="64" spans="2:14" x14ac:dyDescent="0.25">
      <c r="B64" s="69" t="s">
        <v>212</v>
      </c>
      <c r="C64" s="69"/>
      <c r="G64" s="69"/>
      <c r="H64" s="69"/>
    </row>
    <row r="65" spans="1:16" x14ac:dyDescent="0.25">
      <c r="B65" s="69" t="s">
        <v>8</v>
      </c>
      <c r="C65" s="62" t="s">
        <v>68</v>
      </c>
      <c r="D65" s="62" t="s">
        <v>66</v>
      </c>
      <c r="E65" s="62" t="s">
        <v>64</v>
      </c>
      <c r="F65" s="62" t="s">
        <v>96</v>
      </c>
      <c r="G65" s="62"/>
      <c r="H65" s="62"/>
    </row>
    <row r="66" spans="1:16" x14ac:dyDescent="0.25">
      <c r="B66" s="62"/>
      <c r="C66" s="62">
        <f>$E$29/($M$23-$M$21)</f>
        <v>3.9829407292371602E-3</v>
      </c>
      <c r="D66" s="217">
        <f t="shared" ref="D66:F66" si="4">$E$29/($M$23-$M$21)</f>
        <v>3.9829407292371602E-3</v>
      </c>
      <c r="E66" s="217">
        <f t="shared" si="4"/>
        <v>3.9829407292371602E-3</v>
      </c>
      <c r="F66" s="217">
        <f t="shared" si="4"/>
        <v>3.9829407292371602E-3</v>
      </c>
      <c r="G66" s="62"/>
      <c r="H66" s="62"/>
    </row>
    <row r="67" spans="1:16" x14ac:dyDescent="0.25">
      <c r="B67" s="62"/>
      <c r="C67" s="62"/>
      <c r="D67" s="218"/>
      <c r="E67" s="217"/>
      <c r="F67" s="217"/>
      <c r="G67" s="62"/>
      <c r="H67" s="62"/>
    </row>
    <row r="68" spans="1:16" x14ac:dyDescent="0.25">
      <c r="B68" s="69" t="s">
        <v>213</v>
      </c>
      <c r="C68" s="62"/>
      <c r="D68" s="218"/>
      <c r="E68" s="217"/>
      <c r="F68" s="217"/>
      <c r="G68" s="62"/>
      <c r="H68" s="62"/>
    </row>
    <row r="69" spans="1:16" x14ac:dyDescent="0.25">
      <c r="B69" s="62" t="s">
        <v>70</v>
      </c>
      <c r="C69" s="62">
        <f>$E$28/($E$23-$E$21)</f>
        <v>0</v>
      </c>
    </row>
    <row r="70" spans="1:16" x14ac:dyDescent="0.25">
      <c r="B70" s="62" t="s">
        <v>73</v>
      </c>
      <c r="C70" s="62">
        <f t="shared" ref="C70:C72" si="5">$E$28/($E$23-$E$21)</f>
        <v>0</v>
      </c>
      <c r="D70" s="68"/>
      <c r="E70" s="68"/>
      <c r="F70" s="68"/>
      <c r="G70" s="68"/>
      <c r="L70" s="68"/>
      <c r="N70" s="68"/>
      <c r="O70" s="68"/>
    </row>
    <row r="71" spans="1:16" x14ac:dyDescent="0.25">
      <c r="B71" s="62" t="s">
        <v>68</v>
      </c>
      <c r="C71" s="62">
        <f t="shared" si="5"/>
        <v>0</v>
      </c>
    </row>
    <row r="72" spans="1:16" x14ac:dyDescent="0.25">
      <c r="B72" s="62" t="s">
        <v>96</v>
      </c>
      <c r="C72" s="62">
        <f t="shared" si="5"/>
        <v>0</v>
      </c>
      <c r="D72" s="69"/>
      <c r="E72" s="69"/>
      <c r="F72" s="69"/>
      <c r="L72" s="69"/>
      <c r="N72" s="69"/>
      <c r="O72" s="69"/>
    </row>
    <row r="73" spans="1:16" x14ac:dyDescent="0.25">
      <c r="B73" s="62"/>
      <c r="C73" s="62"/>
      <c r="D73" s="62"/>
      <c r="E73" s="62"/>
      <c r="F73" s="62"/>
      <c r="G73" s="62"/>
      <c r="L73" s="62"/>
      <c r="M73" s="62"/>
      <c r="N73" s="62"/>
      <c r="O73" s="62"/>
      <c r="P73" s="62"/>
    </row>
    <row r="74" spans="1:16" x14ac:dyDescent="0.25">
      <c r="B74" s="62"/>
      <c r="C74" s="62"/>
      <c r="D74" s="62"/>
      <c r="E74" s="62"/>
      <c r="F74" s="62"/>
      <c r="G74" s="62"/>
      <c r="J74" s="62"/>
      <c r="K74" s="62"/>
      <c r="L74" s="62"/>
      <c r="M74" s="62"/>
      <c r="N74" s="62"/>
      <c r="O74" s="62"/>
      <c r="P74" s="62"/>
    </row>
    <row r="75" spans="1:16" ht="18.75" x14ac:dyDescent="0.3">
      <c r="A75" s="58" t="s">
        <v>214</v>
      </c>
      <c r="B75" s="62"/>
      <c r="C75" s="62"/>
      <c r="D75" s="62"/>
      <c r="E75" s="62"/>
      <c r="F75" s="62"/>
      <c r="G75" s="62"/>
      <c r="J75" s="62"/>
      <c r="K75" s="62"/>
      <c r="L75" s="62"/>
      <c r="M75" s="62"/>
      <c r="N75" s="62"/>
      <c r="O75" s="62"/>
      <c r="P75" s="62"/>
    </row>
    <row r="76" spans="1:16" x14ac:dyDescent="0.25">
      <c r="B76" s="62"/>
      <c r="C76" s="62"/>
      <c r="D76" s="62"/>
      <c r="E76" s="62"/>
      <c r="F76" s="62"/>
      <c r="G76" s="62"/>
      <c r="J76" s="62"/>
      <c r="K76" s="62"/>
      <c r="L76" s="62"/>
      <c r="M76" s="62"/>
      <c r="N76" s="62"/>
      <c r="O76" s="62"/>
      <c r="P76" s="62"/>
    </row>
    <row r="77" spans="1:16" x14ac:dyDescent="0.25">
      <c r="B77" s="68" t="s">
        <v>215</v>
      </c>
      <c r="J77" s="68" t="s">
        <v>153</v>
      </c>
      <c r="N77" s="62"/>
      <c r="O77" s="62"/>
      <c r="P77" s="62"/>
    </row>
    <row r="78" spans="1:16" x14ac:dyDescent="0.25">
      <c r="B78" s="69" t="s">
        <v>154</v>
      </c>
      <c r="C78" s="69" t="s">
        <v>155</v>
      </c>
      <c r="D78" s="69" t="s">
        <v>156</v>
      </c>
      <c r="E78" s="69" t="s">
        <v>156</v>
      </c>
      <c r="F78" s="69" t="s">
        <v>155</v>
      </c>
      <c r="G78" s="74"/>
      <c r="J78" s="75" t="s">
        <v>157</v>
      </c>
      <c r="K78" s="75"/>
      <c r="L78" s="75"/>
      <c r="O78" s="73"/>
    </row>
    <row r="79" spans="1:16" x14ac:dyDescent="0.25">
      <c r="B79" s="62"/>
      <c r="C79" s="62" t="s">
        <v>64</v>
      </c>
      <c r="D79" s="62" t="s">
        <v>68</v>
      </c>
      <c r="E79" s="62" t="s">
        <v>66</v>
      </c>
      <c r="F79" s="62" t="s">
        <v>96</v>
      </c>
      <c r="G79" s="74"/>
      <c r="J79" s="74"/>
      <c r="K79" s="69" t="s">
        <v>158</v>
      </c>
      <c r="L79" s="69" t="s">
        <v>159</v>
      </c>
    </row>
    <row r="80" spans="1:16" x14ac:dyDescent="0.25">
      <c r="B80" s="69" t="s">
        <v>216</v>
      </c>
      <c r="C80" s="62">
        <f>M20</f>
        <v>32801.983742960401</v>
      </c>
      <c r="D80" s="62">
        <f>M18</f>
        <v>1</v>
      </c>
      <c r="E80" s="62">
        <f>M19</f>
        <v>1</v>
      </c>
      <c r="F80" s="62">
        <f>M21</f>
        <v>6000</v>
      </c>
      <c r="G80" s="74"/>
      <c r="J80" s="76" t="s">
        <v>70</v>
      </c>
      <c r="K80" s="62">
        <f>(K38*E36+K39*F36)/SUM(K38,K39)</f>
        <v>175.74299696467546</v>
      </c>
      <c r="L80" s="62">
        <f>(K36*C36+K37*D36)/SUM(K36,K37)</f>
        <v>212.6</v>
      </c>
    </row>
    <row r="81" spans="2:16" x14ac:dyDescent="0.25">
      <c r="B81" s="69" t="s">
        <v>161</v>
      </c>
      <c r="C81" s="62">
        <f>C80*C57</f>
        <v>6452711.6775869885</v>
      </c>
      <c r="D81" s="62">
        <f>D80*C55</f>
        <v>121.92689784077413</v>
      </c>
      <c r="E81" s="62">
        <f>E80*C56</f>
        <v>282.11711711557075</v>
      </c>
      <c r="F81" s="62">
        <f>F80*C58</f>
        <v>724598.81925160263</v>
      </c>
      <c r="G81" s="74"/>
      <c r="J81" s="76" t="s">
        <v>73</v>
      </c>
      <c r="K81" s="62">
        <f>(L38*E37+L39*F37)/SUM(L38,L39)</f>
        <v>118.94299696467546</v>
      </c>
      <c r="L81" s="62">
        <f>(L37*C37+L38*D37)/SUM(L37,L38)</f>
        <v>218.59617108001561</v>
      </c>
      <c r="N81" s="68"/>
      <c r="O81" s="68"/>
    </row>
    <row r="82" spans="2:16" x14ac:dyDescent="0.25">
      <c r="J82" s="76" t="s">
        <v>68</v>
      </c>
      <c r="K82" s="62">
        <f>(M38*E38+M39*F38)/SUM(M38,M39)</f>
        <v>211.94299696467544</v>
      </c>
      <c r="L82" s="62">
        <f>(M38*C38+M39*D38)/SUM(M38,M39)</f>
        <v>48.183103533699857</v>
      </c>
    </row>
    <row r="83" spans="2:16" x14ac:dyDescent="0.25">
      <c r="C83" s="62" t="s">
        <v>162</v>
      </c>
      <c r="J83" s="76" t="s">
        <v>96</v>
      </c>
      <c r="K83" s="62">
        <f>(N38*E39+N39*F39)/SUM(N38,N39)</f>
        <v>92.2</v>
      </c>
      <c r="L83" s="62">
        <f>(N36*C39+N37*D39)/SUM(N36,N37)</f>
        <v>155.79999999999998</v>
      </c>
      <c r="N83" s="69"/>
      <c r="O83" s="69"/>
    </row>
    <row r="84" spans="2:16" x14ac:dyDescent="0.25">
      <c r="B84" s="68" t="s">
        <v>163</v>
      </c>
      <c r="J84" s="68" t="s">
        <v>164</v>
      </c>
      <c r="K84" s="62"/>
      <c r="L84" s="62"/>
      <c r="N84" s="62"/>
      <c r="O84" s="62"/>
      <c r="P84" s="62"/>
    </row>
    <row r="85" spans="2:16" ht="34.5" x14ac:dyDescent="0.25">
      <c r="C85" s="76" t="s">
        <v>165</v>
      </c>
      <c r="D85" s="76" t="s">
        <v>166</v>
      </c>
      <c r="E85" s="76" t="s">
        <v>167</v>
      </c>
      <c r="F85" s="76" t="s">
        <v>168</v>
      </c>
      <c r="G85" s="76" t="s">
        <v>169</v>
      </c>
      <c r="J85" s="76" t="s">
        <v>170</v>
      </c>
      <c r="K85" s="62">
        <f>SUMPRODUCT(C86:C89,C69:C72)</f>
        <v>0</v>
      </c>
      <c r="L85" s="62"/>
      <c r="N85" s="62"/>
      <c r="O85" s="62"/>
      <c r="P85" s="62"/>
    </row>
    <row r="86" spans="2:16" ht="23.25" x14ac:dyDescent="0.25">
      <c r="B86" s="76" t="s">
        <v>70</v>
      </c>
      <c r="C86" s="62">
        <f>SUM($D$80:$E$80)/SUM($E$18:$E$21)*E18</f>
        <v>9.904137925220638E-2</v>
      </c>
      <c r="D86" s="136" t="s">
        <v>171</v>
      </c>
      <c r="E86" s="62">
        <f>E18-C86</f>
        <v>2208.1509586207471</v>
      </c>
      <c r="F86" s="62">
        <f>C86*L80</f>
        <v>21.056197229019077</v>
      </c>
      <c r="G86" s="62">
        <f>E86*K80</f>
        <v>388067.06721843116</v>
      </c>
      <c r="J86" s="76" t="s">
        <v>172</v>
      </c>
      <c r="K86" s="62">
        <f>E28-K85</f>
        <v>0</v>
      </c>
      <c r="L86" s="62"/>
      <c r="N86" s="62"/>
      <c r="O86" s="62"/>
      <c r="P86" s="62"/>
    </row>
    <row r="87" spans="2:16" ht="23.25" x14ac:dyDescent="0.25">
      <c r="B87" s="76" t="s">
        <v>73</v>
      </c>
      <c r="C87" s="62">
        <f>SUM($D$80:$E$80)/SUM($E$18:$E$21)*E19</f>
        <v>0.2077480668838311</v>
      </c>
      <c r="D87" s="136" t="s">
        <v>171</v>
      </c>
      <c r="E87" s="62">
        <f t="shared" ref="E87" si="6">E19-C87</f>
        <v>4631.7922519331159</v>
      </c>
      <c r="F87" s="62">
        <f>C87*L81</f>
        <v>45.412931970080471</v>
      </c>
      <c r="G87" s="62">
        <f>E87*K81</f>
        <v>550919.25176268793</v>
      </c>
      <c r="J87" s="76" t="s">
        <v>173</v>
      </c>
      <c r="K87" s="62">
        <f>D80*C66+E80*D66</f>
        <v>7.9658814584743203E-3</v>
      </c>
      <c r="L87" s="62"/>
      <c r="N87" s="62"/>
      <c r="O87" s="62"/>
      <c r="P87" s="62"/>
    </row>
    <row r="88" spans="2:16" ht="23.25" x14ac:dyDescent="0.25">
      <c r="B88" s="76" t="s">
        <v>68</v>
      </c>
      <c r="C88" s="62">
        <f>SUM($D$80:$E$80)/SUM($E$18:$E$21)*E20</f>
        <v>1.4241068402838706</v>
      </c>
      <c r="D88" s="136" t="s">
        <v>171</v>
      </c>
      <c r="E88" s="62">
        <f>E20-C88</f>
        <v>31750.798588370202</v>
      </c>
      <c r="F88" s="62">
        <f>C88*L82</f>
        <v>68.617887328447907</v>
      </c>
      <c r="G88" s="62">
        <f>E88*K82</f>
        <v>6729359.4088409673</v>
      </c>
      <c r="J88" s="76" t="s">
        <v>174</v>
      </c>
      <c r="K88" s="62">
        <f>E29-K87</f>
        <v>130.64835704961217</v>
      </c>
      <c r="L88" s="62"/>
      <c r="N88" s="62"/>
      <c r="O88" s="62"/>
      <c r="P88" s="62"/>
    </row>
    <row r="89" spans="2:16" x14ac:dyDescent="0.25">
      <c r="B89" s="76" t="s">
        <v>96</v>
      </c>
      <c r="C89" s="62">
        <f>SUM($D$80:$E$80)/SUM($E$18:$E$21)*E21</f>
        <v>0.26910371358009211</v>
      </c>
      <c r="D89" s="136" t="s">
        <v>171</v>
      </c>
      <c r="E89" s="62">
        <f>E21-C89</f>
        <v>5999.7308962864199</v>
      </c>
      <c r="F89" s="62">
        <f>C89*L83</f>
        <v>41.926358575778345</v>
      </c>
      <c r="G89" s="62">
        <f>E89*K83</f>
        <v>553175.18863760796</v>
      </c>
      <c r="H89" s="69"/>
      <c r="J89" s="76" t="s">
        <v>175</v>
      </c>
      <c r="K89" s="62">
        <f>K86+K88</f>
        <v>130.64835704961217</v>
      </c>
      <c r="L89" s="62"/>
      <c r="O89" s="73"/>
    </row>
    <row r="90" spans="2:16" x14ac:dyDescent="0.25">
      <c r="B90" s="76"/>
      <c r="C90" s="62"/>
      <c r="D90" s="136"/>
      <c r="E90" s="62"/>
      <c r="F90" s="62"/>
      <c r="G90" s="62"/>
      <c r="J90" s="76" t="s">
        <v>176</v>
      </c>
      <c r="K90" s="62">
        <f>K85+K87</f>
        <v>7.9658814584743203E-3</v>
      </c>
      <c r="L90" s="62"/>
    </row>
    <row r="91" spans="2:16" x14ac:dyDescent="0.25">
      <c r="B91" s="76" t="s">
        <v>177</v>
      </c>
      <c r="C91" s="62">
        <f>SUM(C86:C89)</f>
        <v>2</v>
      </c>
      <c r="D91" s="62"/>
      <c r="E91" s="62">
        <f>SUM(E86:E89)</f>
        <v>44590.472695210483</v>
      </c>
      <c r="F91" s="62">
        <f>SUM(F86:F89)</f>
        <v>177.01337510332581</v>
      </c>
      <c r="G91" s="62">
        <f>SUM(G86:G89)</f>
        <v>8221520.9164596945</v>
      </c>
    </row>
    <row r="92" spans="2:16" x14ac:dyDescent="0.25">
      <c r="B92" s="76"/>
      <c r="C92" s="62"/>
      <c r="D92" s="62"/>
      <c r="E92" s="62"/>
      <c r="F92" s="62"/>
      <c r="G92" s="62"/>
    </row>
    <row r="93" spans="2:16" x14ac:dyDescent="0.25">
      <c r="B93" s="76" t="s">
        <v>178</v>
      </c>
      <c r="C93" s="62">
        <f>SUM(D80:E80)</f>
        <v>2</v>
      </c>
      <c r="D93" s="62"/>
      <c r="E93" s="62"/>
      <c r="F93" s="62"/>
      <c r="G93" s="62"/>
    </row>
    <row r="94" spans="2:16" x14ac:dyDescent="0.25">
      <c r="B94" s="76"/>
      <c r="E94" s="62"/>
    </row>
    <row r="95" spans="2:16" x14ac:dyDescent="0.25">
      <c r="B95" s="76"/>
    </row>
    <row r="96" spans="2:16" x14ac:dyDescent="0.25">
      <c r="B96" s="68" t="s">
        <v>179</v>
      </c>
      <c r="J96" s="68" t="s">
        <v>180</v>
      </c>
    </row>
    <row r="97" spans="2:12" ht="23.25" x14ac:dyDescent="0.25">
      <c r="B97" s="76" t="s">
        <v>169</v>
      </c>
      <c r="C97" s="78"/>
      <c r="D97" s="62">
        <f>G91</f>
        <v>8221520.9164596945</v>
      </c>
      <c r="E97" s="62"/>
      <c r="J97" s="79" t="s">
        <v>181</v>
      </c>
      <c r="K97" s="80"/>
      <c r="L97" s="81"/>
    </row>
    <row r="98" spans="2:12" ht="23.25" x14ac:dyDescent="0.25">
      <c r="B98" s="76" t="s">
        <v>182</v>
      </c>
      <c r="C98" s="78"/>
      <c r="D98" s="62">
        <f>C81+F81</f>
        <v>7177310.4968385911</v>
      </c>
      <c r="E98" s="62"/>
      <c r="J98" s="82" t="s">
        <v>183</v>
      </c>
      <c r="K98" s="83">
        <f>K89*10^6/D99</f>
        <v>8.4843033567329975</v>
      </c>
      <c r="L98" s="84" t="s">
        <v>184</v>
      </c>
    </row>
    <row r="99" spans="2:12" ht="23.25" x14ac:dyDescent="0.25">
      <c r="B99" s="76" t="s">
        <v>185</v>
      </c>
      <c r="C99" s="78"/>
      <c r="D99" s="62">
        <f>SUM(D97:D98)</f>
        <v>15398831.413298286</v>
      </c>
      <c r="E99" s="62"/>
      <c r="J99" s="82" t="s">
        <v>186</v>
      </c>
      <c r="K99" s="83">
        <f>K90*10^6/D102</f>
        <v>13.709285166575848</v>
      </c>
      <c r="L99" s="84" t="s">
        <v>187</v>
      </c>
    </row>
    <row r="100" spans="2:12" ht="23.25" x14ac:dyDescent="0.25">
      <c r="B100" s="76" t="s">
        <v>188</v>
      </c>
      <c r="C100" s="78"/>
      <c r="D100" s="62">
        <f>F91</f>
        <v>177.01337510332581</v>
      </c>
      <c r="E100" s="62"/>
      <c r="J100" s="82" t="s">
        <v>189</v>
      </c>
      <c r="K100" s="85">
        <f>2*(ABS(K98-K99))/(K98+K99)</f>
        <v>0.47085506738626842</v>
      </c>
      <c r="L100" s="84" t="s">
        <v>190</v>
      </c>
    </row>
    <row r="101" spans="2:12" ht="23.25" x14ac:dyDescent="0.25">
      <c r="B101" s="76" t="s">
        <v>191</v>
      </c>
      <c r="C101" s="78"/>
      <c r="D101" s="62">
        <f>SUM(D81:E81)</f>
        <v>404.04401495634488</v>
      </c>
      <c r="E101" s="62"/>
    </row>
    <row r="102" spans="2:12" ht="23.25" x14ac:dyDescent="0.25">
      <c r="B102" s="76" t="s">
        <v>192</v>
      </c>
      <c r="C102" s="78"/>
      <c r="D102" s="62">
        <f>SUM(D100:D101)</f>
        <v>581.05739005967075</v>
      </c>
      <c r="E102" s="62"/>
    </row>
  </sheetData>
  <conditionalFormatting sqref="K100">
    <cfRule type="cellIs" dxfId="29" priority="1" operator="lessThan">
      <formula>0.1</formula>
    </cfRule>
    <cfRule type="cellIs" dxfId="28" priority="2" operator="greaterThan">
      <formula>0.1</formula>
    </cfRule>
  </conditionalFormatting>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00"/>
  </sheetPr>
  <dimension ref="A1:AC115"/>
  <sheetViews>
    <sheetView showGridLines="0" topLeftCell="A85" workbookViewId="0">
      <selection activeCell="A25" sqref="A25"/>
    </sheetView>
  </sheetViews>
  <sheetFormatPr defaultColWidth="9.140625" defaultRowHeight="15" x14ac:dyDescent="0.25"/>
  <cols>
    <col min="1" max="1" width="9.140625" style="53"/>
    <col min="2" max="2" width="21" style="53" customWidth="1"/>
    <col min="3" max="3" width="19.5703125" style="53" customWidth="1"/>
    <col min="4" max="4" width="15.5703125" style="53" customWidth="1"/>
    <col min="5" max="5" width="12.5703125" style="53" customWidth="1"/>
    <col min="6" max="6" width="13.140625" style="53" customWidth="1"/>
    <col min="7" max="8" width="10" style="53" bestFit="1" customWidth="1"/>
    <col min="9" max="9" width="21.5703125" style="53" customWidth="1"/>
    <col min="10" max="10" width="19" style="53" customWidth="1"/>
    <col min="11" max="11" width="12.140625" style="53" bestFit="1" customWidth="1"/>
    <col min="12" max="12" width="21.42578125" style="53" customWidth="1"/>
    <col min="13" max="13" width="17.140625" style="53" customWidth="1"/>
    <col min="14" max="14" width="12.140625" style="53" bestFit="1" customWidth="1"/>
    <col min="15" max="15" width="9.5703125" style="53" bestFit="1" customWidth="1"/>
    <col min="16" max="16" width="22.42578125" style="53" customWidth="1"/>
    <col min="17" max="17" width="10.5703125" style="53" customWidth="1"/>
    <col min="18" max="18" width="9.140625" style="53"/>
    <col min="19" max="19" width="11" style="53" bestFit="1" customWidth="1"/>
    <col min="20" max="16384" width="9.140625" style="53"/>
  </cols>
  <sheetData>
    <row r="1" spans="1:21" x14ac:dyDescent="0.25">
      <c r="A1" s="53" t="s">
        <v>86</v>
      </c>
      <c r="F1" s="60"/>
      <c r="G1" s="60"/>
      <c r="H1" s="60"/>
      <c r="I1" s="60"/>
      <c r="J1" s="60"/>
      <c r="K1" s="60"/>
      <c r="L1" s="60"/>
      <c r="M1" s="60"/>
      <c r="N1" s="60"/>
      <c r="O1" s="60"/>
    </row>
    <row r="2" spans="1:21" ht="15.75" x14ac:dyDescent="0.25">
      <c r="A2" s="54" t="s">
        <v>87</v>
      </c>
      <c r="F2" s="60"/>
      <c r="G2" s="60"/>
      <c r="H2" s="60"/>
      <c r="I2" s="60"/>
      <c r="J2" s="60"/>
      <c r="K2" s="60"/>
      <c r="L2" s="60"/>
      <c r="M2" s="60"/>
      <c r="N2" s="60"/>
      <c r="O2" s="60"/>
    </row>
    <row r="3" spans="1:21" x14ac:dyDescent="0.25">
      <c r="A3" s="55" t="s">
        <v>88</v>
      </c>
      <c r="F3" s="60"/>
      <c r="G3" s="60"/>
      <c r="H3" s="60"/>
      <c r="I3" s="60"/>
      <c r="J3" s="60"/>
      <c r="K3" s="60"/>
      <c r="L3" s="60"/>
      <c r="M3" s="60"/>
      <c r="N3" s="60"/>
      <c r="O3" s="60"/>
    </row>
    <row r="4" spans="1:21" x14ac:dyDescent="0.25">
      <c r="B4" s="56"/>
      <c r="C4" s="56"/>
      <c r="D4" s="56"/>
      <c r="E4" s="56"/>
      <c r="F4" s="86"/>
      <c r="G4" s="60"/>
      <c r="H4" s="60"/>
      <c r="I4" s="60"/>
      <c r="J4" s="60"/>
      <c r="K4" s="60"/>
      <c r="L4" s="60"/>
      <c r="M4" s="60"/>
      <c r="N4" s="60"/>
      <c r="O4" s="60"/>
    </row>
    <row r="5" spans="1:21" x14ac:dyDescent="0.25">
      <c r="A5" s="57" t="s">
        <v>89</v>
      </c>
      <c r="B5" s="55"/>
      <c r="C5" s="55"/>
      <c r="D5" s="55"/>
      <c r="E5" s="55"/>
      <c r="F5" s="87"/>
      <c r="G5" s="87"/>
      <c r="H5" s="87"/>
      <c r="I5" s="60"/>
      <c r="J5" s="60"/>
      <c r="K5" s="60"/>
      <c r="L5" s="60"/>
      <c r="M5" s="60"/>
      <c r="N5" s="60"/>
      <c r="O5" s="60"/>
    </row>
    <row r="6" spans="1:21" x14ac:dyDescent="0.25">
      <c r="F6" s="60"/>
      <c r="G6" s="60"/>
      <c r="H6" s="60"/>
      <c r="I6" s="60"/>
      <c r="J6" s="60"/>
      <c r="K6" s="60"/>
      <c r="L6" s="60"/>
      <c r="M6" s="60"/>
      <c r="N6" s="60"/>
      <c r="O6" s="60"/>
    </row>
    <row r="7" spans="1:21" x14ac:dyDescent="0.25">
      <c r="F7" s="60"/>
      <c r="G7" s="60"/>
      <c r="H7" s="60"/>
      <c r="I7" s="60"/>
      <c r="J7" s="60"/>
      <c r="K7" s="60"/>
      <c r="L7" s="60"/>
      <c r="M7" s="60"/>
      <c r="N7" s="60"/>
      <c r="O7" s="60"/>
    </row>
    <row r="8" spans="1:21" x14ac:dyDescent="0.25">
      <c r="F8" s="60"/>
      <c r="G8" s="60"/>
      <c r="H8" s="60"/>
      <c r="I8" s="60"/>
      <c r="J8" s="60"/>
      <c r="K8" s="60"/>
      <c r="L8" s="60"/>
      <c r="M8" s="60"/>
      <c r="N8" s="60"/>
      <c r="O8" s="60"/>
    </row>
    <row r="9" spans="1:21" x14ac:dyDescent="0.25">
      <c r="F9" s="60"/>
      <c r="G9" s="60"/>
      <c r="H9" s="60"/>
      <c r="I9" s="60"/>
      <c r="J9" s="60"/>
      <c r="K9" s="60"/>
      <c r="L9" s="60"/>
      <c r="M9" s="60"/>
      <c r="N9" s="60"/>
      <c r="O9" s="60"/>
    </row>
    <row r="10" spans="1:21" x14ac:dyDescent="0.25">
      <c r="F10" s="60"/>
      <c r="G10" s="60"/>
      <c r="H10" s="60"/>
      <c r="I10" s="60"/>
      <c r="J10" s="60"/>
      <c r="K10" s="60"/>
      <c r="L10" s="60"/>
      <c r="M10" s="60"/>
      <c r="N10" s="60"/>
      <c r="O10" s="60"/>
    </row>
    <row r="12" spans="1:21" x14ac:dyDescent="0.25">
      <c r="A12" s="88"/>
      <c r="B12" s="88"/>
      <c r="C12" s="88"/>
      <c r="D12" s="88"/>
      <c r="E12" s="88"/>
      <c r="F12" s="88"/>
      <c r="G12" s="88"/>
      <c r="H12" s="88"/>
      <c r="I12" s="88"/>
      <c r="J12" s="88"/>
      <c r="K12" s="88"/>
      <c r="L12" s="88"/>
      <c r="M12" s="88"/>
      <c r="N12" s="88"/>
      <c r="O12" s="88"/>
      <c r="P12" s="88"/>
      <c r="Q12" s="88"/>
      <c r="R12" s="88"/>
      <c r="S12" s="88"/>
      <c r="T12" s="88"/>
      <c r="U12" s="88"/>
    </row>
    <row r="13" spans="1:21" x14ac:dyDescent="0.25">
      <c r="A13" s="88"/>
      <c r="B13" s="88"/>
      <c r="C13" s="88"/>
      <c r="D13" s="88"/>
      <c r="E13" s="88"/>
      <c r="F13" s="88"/>
      <c r="G13" s="88"/>
      <c r="H13" s="88"/>
      <c r="I13" s="88"/>
      <c r="J13" s="88"/>
      <c r="K13" s="88"/>
      <c r="L13" s="88"/>
      <c r="M13" s="88"/>
      <c r="N13" s="88"/>
      <c r="O13" s="88"/>
      <c r="P13" s="88"/>
      <c r="Q13" s="88"/>
      <c r="R13" s="88"/>
      <c r="S13" s="88"/>
      <c r="T13" s="88"/>
      <c r="U13" s="88"/>
    </row>
    <row r="14" spans="1:21" ht="18.75" x14ac:dyDescent="0.3">
      <c r="A14" s="89" t="s">
        <v>90</v>
      </c>
      <c r="B14" s="90"/>
      <c r="C14" s="90"/>
      <c r="D14" s="90"/>
      <c r="E14" s="90"/>
      <c r="F14" s="90"/>
      <c r="G14" s="90"/>
      <c r="H14" s="90"/>
      <c r="I14" s="90"/>
      <c r="J14" s="90"/>
      <c r="K14" s="90"/>
      <c r="L14" s="90"/>
      <c r="M14" s="90"/>
      <c r="N14" s="90"/>
      <c r="O14" s="90"/>
      <c r="P14" s="88"/>
      <c r="Q14" s="88"/>
      <c r="R14" s="88"/>
      <c r="S14" s="88"/>
      <c r="T14" s="88"/>
      <c r="U14" s="88"/>
    </row>
    <row r="15" spans="1:21" x14ac:dyDescent="0.25">
      <c r="A15" s="90"/>
      <c r="B15" s="90"/>
      <c r="C15" s="90"/>
      <c r="D15" s="90"/>
      <c r="E15" s="90"/>
      <c r="F15" s="90"/>
      <c r="G15" s="90"/>
      <c r="H15" s="90"/>
      <c r="I15" s="90"/>
      <c r="J15" s="90"/>
      <c r="K15" s="90"/>
      <c r="L15" s="90"/>
      <c r="M15" s="90"/>
      <c r="N15" s="90"/>
      <c r="O15" s="90"/>
      <c r="P15" s="88"/>
      <c r="Q15" s="88"/>
      <c r="R15" s="88"/>
      <c r="S15" s="88"/>
      <c r="T15" s="88"/>
      <c r="U15" s="88"/>
    </row>
    <row r="16" spans="1:21" x14ac:dyDescent="0.25">
      <c r="A16" s="90"/>
      <c r="B16" s="94" t="s">
        <v>91</v>
      </c>
      <c r="C16" s="90"/>
      <c r="D16" s="90"/>
      <c r="E16" s="90"/>
      <c r="F16" s="90"/>
      <c r="G16" s="90"/>
      <c r="H16" s="90"/>
      <c r="I16" s="90"/>
      <c r="J16" s="90"/>
      <c r="K16" s="90"/>
      <c r="L16" s="90"/>
      <c r="M16" s="90"/>
      <c r="N16" s="90"/>
      <c r="O16" s="90"/>
      <c r="P16" s="88"/>
      <c r="Q16" s="88"/>
      <c r="R16" s="88"/>
      <c r="S16" s="88"/>
      <c r="T16" s="88"/>
      <c r="U16" s="88"/>
    </row>
    <row r="17" spans="1:29" x14ac:dyDescent="0.25">
      <c r="A17" s="90"/>
      <c r="B17" s="94" t="s">
        <v>26</v>
      </c>
      <c r="C17" s="95" t="s">
        <v>92</v>
      </c>
      <c r="D17" s="95" t="s">
        <v>93</v>
      </c>
      <c r="E17" s="95" t="s">
        <v>94</v>
      </c>
      <c r="F17" s="95"/>
      <c r="G17" s="90"/>
      <c r="H17" s="90"/>
      <c r="I17" s="90"/>
      <c r="J17" s="94" t="s">
        <v>8</v>
      </c>
      <c r="K17" s="95" t="s">
        <v>92</v>
      </c>
      <c r="L17" s="95" t="s">
        <v>93</v>
      </c>
      <c r="M17" s="95" t="s">
        <v>94</v>
      </c>
      <c r="N17" s="95"/>
      <c r="O17" s="90"/>
      <c r="P17" s="88"/>
      <c r="Q17" s="88"/>
      <c r="R17" s="107"/>
      <c r="S17" s="88"/>
      <c r="T17" s="107"/>
      <c r="U17" s="88"/>
    </row>
    <row r="18" spans="1:29" x14ac:dyDescent="0.25">
      <c r="A18" s="91" t="s">
        <v>95</v>
      </c>
      <c r="B18" s="95" t="s">
        <v>70</v>
      </c>
      <c r="C18" s="95">
        <v>0</v>
      </c>
      <c r="D18" s="95">
        <v>93</v>
      </c>
      <c r="E18" s="95">
        <f>'Forecasted Capacities'!D16*10^(-3)</f>
        <v>210</v>
      </c>
      <c r="F18" s="95"/>
      <c r="G18" s="90"/>
      <c r="H18" s="90"/>
      <c r="I18" s="90"/>
      <c r="J18" s="95" t="s">
        <v>68</v>
      </c>
      <c r="K18" s="95">
        <v>56.8</v>
      </c>
      <c r="L18" s="95">
        <v>0</v>
      </c>
      <c r="M18" s="95">
        <f>'Forecasted Capacities'!D13*10^(-3)</f>
        <v>1E-3</v>
      </c>
      <c r="N18" s="91" t="s">
        <v>200</v>
      </c>
      <c r="O18" s="90"/>
      <c r="P18" s="88"/>
      <c r="Q18" s="88"/>
      <c r="R18" s="107"/>
      <c r="S18" s="88"/>
      <c r="T18" s="107"/>
      <c r="U18" s="88"/>
      <c r="Z18" s="62"/>
      <c r="AA18" s="62"/>
      <c r="AB18" s="62"/>
      <c r="AC18" s="62"/>
    </row>
    <row r="19" spans="1:29" x14ac:dyDescent="0.25">
      <c r="A19" s="90"/>
      <c r="B19" s="95" t="s">
        <v>73</v>
      </c>
      <c r="C19" s="95">
        <v>56.8</v>
      </c>
      <c r="D19" s="95">
        <v>93</v>
      </c>
      <c r="E19" s="95">
        <f>'Forecasted Capacities'!D18*10^(-3)</f>
        <v>785.00000000000034</v>
      </c>
      <c r="F19" s="95"/>
      <c r="G19" s="90"/>
      <c r="H19" s="90"/>
      <c r="I19" s="90"/>
      <c r="J19" s="95" t="s">
        <v>66</v>
      </c>
      <c r="K19" s="95">
        <v>275.39999999999998</v>
      </c>
      <c r="L19" s="95">
        <v>93</v>
      </c>
      <c r="M19" s="95">
        <f>'Forecasted Capacities'!D12*10^(-3)</f>
        <v>1E-3</v>
      </c>
      <c r="N19" s="95"/>
      <c r="O19" s="90"/>
      <c r="P19" s="88"/>
      <c r="Q19" s="88"/>
      <c r="R19" s="107"/>
      <c r="S19" s="88"/>
      <c r="T19" s="107"/>
      <c r="U19" s="88"/>
      <c r="Z19" s="63"/>
      <c r="AA19" s="63"/>
      <c r="AB19" s="63"/>
      <c r="AC19" s="63"/>
    </row>
    <row r="20" spans="1:29" x14ac:dyDescent="0.25">
      <c r="A20" s="90"/>
      <c r="B20" s="95" t="s">
        <v>68</v>
      </c>
      <c r="C20" s="95">
        <v>56.8</v>
      </c>
      <c r="D20" s="95">
        <v>0</v>
      </c>
      <c r="E20" s="95">
        <f>'Forecasted Capacities'!D17*10^(-3)</f>
        <v>3516.078125</v>
      </c>
      <c r="F20" s="95"/>
      <c r="G20" s="90"/>
      <c r="H20" s="90"/>
      <c r="I20" s="90"/>
      <c r="J20" s="95" t="s">
        <v>64</v>
      </c>
      <c r="K20" s="95">
        <v>190</v>
      </c>
      <c r="L20" s="95">
        <v>93</v>
      </c>
      <c r="M20" s="95">
        <f>'Forecasted Capacities'!D11*10^(-3)</f>
        <v>3700</v>
      </c>
      <c r="N20" s="95"/>
      <c r="O20" s="90"/>
      <c r="P20" s="88"/>
      <c r="Q20" s="88"/>
      <c r="R20" s="107"/>
      <c r="S20" s="88"/>
      <c r="T20" s="107"/>
      <c r="U20" s="88"/>
      <c r="Z20" s="62"/>
      <c r="AA20" s="62"/>
      <c r="AB20" s="62"/>
      <c r="AC20" s="62"/>
    </row>
    <row r="21" spans="1:29" x14ac:dyDescent="0.25">
      <c r="A21" s="90"/>
      <c r="B21" s="95" t="s">
        <v>96</v>
      </c>
      <c r="C21" s="95">
        <v>97.8</v>
      </c>
      <c r="D21" s="95">
        <v>93</v>
      </c>
      <c r="E21" s="95">
        <f>'Forecasted Capacities'!D22*10^(-3)</f>
        <v>7000</v>
      </c>
      <c r="F21" s="95"/>
      <c r="G21" s="90"/>
      <c r="H21" s="90"/>
      <c r="I21" s="90"/>
      <c r="J21" s="95" t="s">
        <v>96</v>
      </c>
      <c r="K21" s="95">
        <v>97.8</v>
      </c>
      <c r="L21" s="95">
        <v>93</v>
      </c>
      <c r="M21" s="95">
        <f>'Forecasted Capacities'!D21*10^(-3)</f>
        <v>4000</v>
      </c>
      <c r="N21" s="95"/>
      <c r="O21" s="90"/>
      <c r="P21" s="88"/>
      <c r="Q21" s="88"/>
      <c r="R21" s="107"/>
      <c r="S21" s="88"/>
      <c r="T21" s="107"/>
      <c r="U21" s="88"/>
      <c r="V21" s="62"/>
      <c r="W21" s="62"/>
      <c r="X21" s="62"/>
      <c r="Y21" s="62"/>
      <c r="Z21" s="62"/>
      <c r="AA21" s="62"/>
      <c r="AB21" s="62"/>
      <c r="AC21" s="62"/>
    </row>
    <row r="22" spans="1:29" x14ac:dyDescent="0.25">
      <c r="A22" s="90"/>
      <c r="B22" s="90"/>
      <c r="C22" s="90"/>
      <c r="D22" s="90"/>
      <c r="E22" s="112">
        <f>SUM(E18:E21)</f>
        <v>11511.078125</v>
      </c>
      <c r="F22" s="90"/>
      <c r="G22" s="90"/>
      <c r="H22" s="90"/>
      <c r="I22" s="90"/>
      <c r="J22" s="90"/>
      <c r="K22" s="90"/>
      <c r="L22" s="90"/>
      <c r="M22" s="112">
        <f>SUM(M18:M21)</f>
        <v>7700.0020000000004</v>
      </c>
      <c r="N22" s="90"/>
      <c r="O22" s="90"/>
      <c r="P22" s="88"/>
      <c r="Q22" s="88"/>
      <c r="R22" s="88"/>
      <c r="S22" s="88"/>
      <c r="T22" s="88"/>
      <c r="U22" s="88"/>
      <c r="V22" s="62"/>
      <c r="X22" s="63"/>
      <c r="Y22" s="63"/>
      <c r="Z22" s="62"/>
      <c r="AA22" s="62"/>
      <c r="AB22" s="62"/>
      <c r="AC22" s="62"/>
    </row>
    <row r="23" spans="1:29" x14ac:dyDescent="0.25">
      <c r="A23" s="90"/>
      <c r="B23" s="90"/>
      <c r="C23" s="90"/>
      <c r="D23" s="90"/>
      <c r="E23" s="90"/>
      <c r="F23" s="90"/>
      <c r="G23" s="90"/>
      <c r="H23" s="90"/>
      <c r="I23" s="90"/>
      <c r="J23" s="90"/>
      <c r="K23" s="90"/>
      <c r="L23" s="90"/>
      <c r="M23" s="90"/>
      <c r="N23" s="90"/>
      <c r="O23" s="90"/>
      <c r="P23" s="88"/>
      <c r="Q23" s="88"/>
      <c r="R23" s="88"/>
      <c r="S23" s="88"/>
      <c r="T23" s="88"/>
      <c r="U23" s="88"/>
      <c r="V23" s="62"/>
      <c r="W23" s="62"/>
      <c r="X23" s="62"/>
      <c r="Y23" s="62"/>
    </row>
    <row r="24" spans="1:29" x14ac:dyDescent="0.25">
      <c r="A24" s="90"/>
      <c r="B24" s="94" t="s">
        <v>97</v>
      </c>
      <c r="C24" s="90"/>
      <c r="D24" s="90"/>
      <c r="E24" s="90"/>
      <c r="F24" s="90"/>
      <c r="G24" s="90"/>
      <c r="H24" s="90"/>
      <c r="I24" s="90"/>
      <c r="J24" s="90"/>
      <c r="K24" s="90"/>
      <c r="L24" s="90"/>
      <c r="M24" s="90"/>
      <c r="N24" s="90"/>
      <c r="O24" s="90"/>
      <c r="P24" s="88"/>
      <c r="Q24" s="88"/>
      <c r="R24" s="88"/>
      <c r="S24" s="88"/>
      <c r="T24" s="88"/>
      <c r="U24" s="88"/>
      <c r="V24" s="62"/>
      <c r="W24" s="62"/>
      <c r="X24" s="62"/>
      <c r="Y24" s="62"/>
    </row>
    <row r="25" spans="1:29" ht="15.75" x14ac:dyDescent="0.25">
      <c r="A25" s="90"/>
      <c r="B25" s="219"/>
      <c r="C25" s="95" t="s">
        <v>98</v>
      </c>
      <c r="D25" s="90"/>
      <c r="E25" s="95">
        <f>'15. Current tariff method 22'!B14+'15. Current tariff method 22'!B13</f>
        <v>435.52107643690204</v>
      </c>
      <c r="F25" s="90"/>
      <c r="G25" s="90"/>
      <c r="H25" s="90"/>
      <c r="I25" s="90"/>
      <c r="J25" s="90"/>
      <c r="K25" s="90"/>
      <c r="L25" s="90"/>
      <c r="M25" s="90"/>
      <c r="N25" s="90"/>
      <c r="O25" s="90"/>
      <c r="P25" s="88"/>
      <c r="Q25" s="88"/>
      <c r="R25" s="88"/>
      <c r="S25" s="88"/>
      <c r="T25" s="88"/>
      <c r="U25" s="88"/>
      <c r="V25" s="62"/>
      <c r="W25" s="62"/>
      <c r="X25" s="62"/>
      <c r="Y25" s="62"/>
    </row>
    <row r="26" spans="1:29" x14ac:dyDescent="0.25">
      <c r="A26" s="91" t="s">
        <v>99</v>
      </c>
      <c r="B26" s="90"/>
      <c r="C26" s="95" t="s">
        <v>100</v>
      </c>
      <c r="D26" s="90"/>
      <c r="E26" s="95">
        <f>'15. Current tariff method 22'!B14</f>
        <v>304.8647535058314</v>
      </c>
      <c r="F26" s="90"/>
      <c r="G26" s="90"/>
      <c r="H26" s="90"/>
      <c r="I26" s="90"/>
      <c r="J26" s="90"/>
      <c r="K26" s="90"/>
      <c r="L26" s="90"/>
      <c r="M26" s="90"/>
      <c r="N26" s="90"/>
      <c r="O26" s="90"/>
      <c r="P26" s="88"/>
      <c r="Q26" s="88"/>
      <c r="R26" s="88"/>
      <c r="S26" s="88"/>
      <c r="T26" s="88"/>
      <c r="U26" s="88"/>
    </row>
    <row r="27" spans="1:29" x14ac:dyDescent="0.25">
      <c r="A27" s="91" t="s">
        <v>101</v>
      </c>
      <c r="B27" s="90"/>
      <c r="C27" s="95" t="s">
        <v>102</v>
      </c>
      <c r="D27" s="95"/>
      <c r="E27" s="95">
        <v>0.5</v>
      </c>
      <c r="F27" s="90"/>
      <c r="G27" s="90"/>
      <c r="H27" s="90"/>
      <c r="I27" s="90"/>
      <c r="J27" s="90"/>
      <c r="K27" s="90"/>
      <c r="L27" s="90"/>
      <c r="M27" s="90"/>
      <c r="N27" s="90"/>
      <c r="O27" s="90"/>
      <c r="P27" s="88"/>
      <c r="Q27" s="88"/>
      <c r="R27" s="88"/>
      <c r="S27" s="88"/>
      <c r="T27" s="88"/>
      <c r="U27" s="88"/>
    </row>
    <row r="28" spans="1:29" x14ac:dyDescent="0.25">
      <c r="A28" s="91" t="s">
        <v>101</v>
      </c>
      <c r="B28" s="90"/>
      <c r="C28" s="95" t="s">
        <v>103</v>
      </c>
      <c r="D28" s="95"/>
      <c r="E28" s="95">
        <f>E26*E27</f>
        <v>152.4323767529157</v>
      </c>
      <c r="F28" s="90"/>
      <c r="G28" s="90"/>
      <c r="H28" s="90"/>
      <c r="I28" s="90"/>
      <c r="J28" s="90"/>
      <c r="K28" s="90"/>
      <c r="L28" s="90"/>
      <c r="M28" s="90"/>
      <c r="N28" s="90"/>
      <c r="O28" s="90"/>
      <c r="P28" s="88"/>
      <c r="Q28" s="88"/>
      <c r="R28" s="88"/>
      <c r="S28" s="88"/>
      <c r="T28" s="88"/>
      <c r="U28" s="88"/>
    </row>
    <row r="29" spans="1:29" x14ac:dyDescent="0.25">
      <c r="A29" s="90"/>
      <c r="B29" s="90"/>
      <c r="C29" s="95" t="s">
        <v>104</v>
      </c>
      <c r="D29" s="95"/>
      <c r="E29" s="95">
        <f>E26*(1-E27)</f>
        <v>152.4323767529157</v>
      </c>
      <c r="F29" s="90"/>
      <c r="G29" s="90"/>
      <c r="H29" s="90"/>
      <c r="I29" s="90"/>
      <c r="J29" s="90"/>
      <c r="K29" s="90"/>
      <c r="L29" s="90"/>
      <c r="M29" s="90"/>
      <c r="N29" s="90"/>
      <c r="O29" s="90"/>
      <c r="P29" s="88"/>
      <c r="Q29" s="88"/>
      <c r="R29" s="88"/>
      <c r="S29" s="88"/>
      <c r="T29" s="88"/>
      <c r="U29" s="88"/>
    </row>
    <row r="30" spans="1:29" x14ac:dyDescent="0.25">
      <c r="A30" s="90"/>
      <c r="B30" s="90"/>
      <c r="C30" s="95" t="s">
        <v>105</v>
      </c>
      <c r="D30" s="90"/>
      <c r="E30" s="95">
        <f>'15. Current tariff method 22'!B13</f>
        <v>130.65632293107063</v>
      </c>
      <c r="F30" s="90"/>
      <c r="G30" s="90"/>
      <c r="H30" s="90"/>
      <c r="I30" s="90"/>
      <c r="J30" s="90"/>
      <c r="K30" s="90"/>
      <c r="L30" s="90"/>
      <c r="M30" s="90"/>
      <c r="N30" s="90"/>
      <c r="O30" s="90"/>
      <c r="P30" s="88"/>
      <c r="Q30" s="88"/>
      <c r="R30" s="88"/>
      <c r="S30" s="88"/>
      <c r="T30" s="88"/>
      <c r="U30" s="88"/>
    </row>
    <row r="31" spans="1:29" x14ac:dyDescent="0.25">
      <c r="A31" s="90"/>
      <c r="B31" s="90"/>
      <c r="C31" s="90"/>
      <c r="D31" s="90"/>
      <c r="E31" s="90"/>
      <c r="F31" s="90"/>
      <c r="G31" s="90"/>
      <c r="H31" s="90"/>
      <c r="I31" s="90"/>
      <c r="J31" s="90"/>
      <c r="K31" s="90"/>
      <c r="L31" s="90"/>
      <c r="M31" s="90"/>
      <c r="N31" s="90"/>
      <c r="O31" s="90"/>
      <c r="P31" s="88"/>
      <c r="Q31" s="88"/>
      <c r="R31" s="88"/>
      <c r="S31" s="88"/>
      <c r="T31" s="88"/>
      <c r="U31" s="88"/>
    </row>
    <row r="32" spans="1:29" x14ac:dyDescent="0.25">
      <c r="A32" s="90"/>
      <c r="B32" s="90"/>
      <c r="C32" s="90"/>
      <c r="D32" s="90"/>
      <c r="E32" s="90"/>
      <c r="F32" s="90"/>
      <c r="G32" s="90"/>
      <c r="H32" s="90"/>
      <c r="I32" s="90"/>
      <c r="J32" s="90"/>
      <c r="K32" s="92"/>
      <c r="L32" s="92"/>
      <c r="M32" s="90"/>
      <c r="N32" s="90"/>
      <c r="O32" s="90"/>
      <c r="P32" s="88"/>
      <c r="Q32" s="88"/>
      <c r="R32" s="88"/>
      <c r="S32" s="88"/>
      <c r="T32" s="88"/>
      <c r="U32" s="88"/>
    </row>
    <row r="33" spans="1:21" x14ac:dyDescent="0.25">
      <c r="A33" s="90"/>
      <c r="B33" s="93" t="s">
        <v>106</v>
      </c>
      <c r="C33" s="90"/>
      <c r="D33" s="90"/>
      <c r="E33" s="90"/>
      <c r="F33" s="90"/>
      <c r="G33" s="90"/>
      <c r="H33" s="90"/>
      <c r="I33" s="90"/>
      <c r="J33" s="93" t="s">
        <v>107</v>
      </c>
      <c r="K33" s="90"/>
      <c r="L33" s="90"/>
      <c r="M33" s="90"/>
      <c r="N33" s="90"/>
      <c r="O33" s="90"/>
      <c r="P33" s="88"/>
      <c r="Q33" s="88"/>
      <c r="R33" s="88"/>
      <c r="S33" s="88"/>
      <c r="T33" s="88"/>
      <c r="U33" s="88"/>
    </row>
    <row r="34" spans="1:21" x14ac:dyDescent="0.25">
      <c r="A34" s="90"/>
      <c r="B34" s="94" t="s">
        <v>108</v>
      </c>
      <c r="C34" s="94" t="s">
        <v>8</v>
      </c>
      <c r="D34" s="90"/>
      <c r="E34" s="90"/>
      <c r="F34" s="90"/>
      <c r="G34" s="90"/>
      <c r="H34" s="90"/>
      <c r="I34" s="90"/>
      <c r="J34" s="94" t="s">
        <v>109</v>
      </c>
      <c r="K34" s="95" t="s">
        <v>26</v>
      </c>
      <c r="L34" s="90"/>
      <c r="M34" s="90"/>
      <c r="N34" s="90"/>
      <c r="O34" s="90"/>
      <c r="P34" s="88"/>
      <c r="Q34" s="88"/>
      <c r="R34" s="88"/>
      <c r="S34" s="88"/>
      <c r="T34" s="88"/>
      <c r="U34" s="88"/>
    </row>
    <row r="35" spans="1:21" x14ac:dyDescent="0.25">
      <c r="A35" s="90"/>
      <c r="B35" s="94" t="s">
        <v>26</v>
      </c>
      <c r="C35" s="95" t="s">
        <v>68</v>
      </c>
      <c r="D35" s="95" t="s">
        <v>66</v>
      </c>
      <c r="E35" s="95" t="s">
        <v>64</v>
      </c>
      <c r="F35" s="95" t="s">
        <v>96</v>
      </c>
      <c r="G35" s="90"/>
      <c r="H35" s="90"/>
      <c r="I35" s="90"/>
      <c r="J35" s="95" t="s">
        <v>8</v>
      </c>
      <c r="K35" s="95" t="s">
        <v>70</v>
      </c>
      <c r="L35" s="95" t="s">
        <v>73</v>
      </c>
      <c r="M35" s="95" t="s">
        <v>68</v>
      </c>
      <c r="N35" s="95" t="s">
        <v>96</v>
      </c>
      <c r="O35" s="90"/>
      <c r="P35" s="88"/>
      <c r="Q35" s="88"/>
      <c r="R35" s="88"/>
      <c r="S35" s="88"/>
      <c r="T35" s="88"/>
      <c r="U35" s="88"/>
    </row>
    <row r="36" spans="1:21" x14ac:dyDescent="0.25">
      <c r="A36" s="90"/>
      <c r="B36" s="95" t="s">
        <v>70</v>
      </c>
      <c r="C36" s="95">
        <f>ABS(C20-C18)+ABS(D18-D20)</f>
        <v>149.80000000000001</v>
      </c>
      <c r="D36" s="95">
        <f>ABS(K19-C18)+ABS(L19-D18)</f>
        <v>275.39999999999998</v>
      </c>
      <c r="E36" s="95">
        <f>ABS(K20-C18)+ABS(L20-D18)</f>
        <v>190</v>
      </c>
      <c r="F36" s="95">
        <f>ABS(K21-C18)+ABS(L21-D18)</f>
        <v>97.8</v>
      </c>
      <c r="G36" s="90"/>
      <c r="H36" s="90"/>
      <c r="I36" s="90"/>
      <c r="J36" s="95" t="s">
        <v>68</v>
      </c>
      <c r="K36" s="95">
        <f t="shared" ref="K36:L39" si="0">$M18</f>
        <v>1E-3</v>
      </c>
      <c r="L36" s="95">
        <f t="shared" si="0"/>
        <v>1E-3</v>
      </c>
      <c r="M36" s="95">
        <v>0</v>
      </c>
      <c r="N36" s="95">
        <f>$M18</f>
        <v>1E-3</v>
      </c>
      <c r="O36" s="90"/>
      <c r="P36" s="88"/>
      <c r="Q36" s="88"/>
      <c r="R36" s="88"/>
      <c r="S36" s="88"/>
      <c r="T36" s="88"/>
      <c r="U36" s="88"/>
    </row>
    <row r="37" spans="1:21" x14ac:dyDescent="0.25">
      <c r="A37" s="90"/>
      <c r="B37" s="95" t="s">
        <v>73</v>
      </c>
      <c r="C37" s="95">
        <f>ABS(C19-C20)+ABS(D19-D20)</f>
        <v>93</v>
      </c>
      <c r="D37" s="95">
        <f>ABS(K19-C19)+ABS(L19-D19)</f>
        <v>218.59999999999997</v>
      </c>
      <c r="E37" s="95">
        <f>ABS(K20-C19)+ABS(L20-D19)</f>
        <v>133.19999999999999</v>
      </c>
      <c r="F37" s="95">
        <f>ABS(K21-C19)+ABS(L21-D19)</f>
        <v>41</v>
      </c>
      <c r="G37" s="90"/>
      <c r="H37" s="90"/>
      <c r="I37" s="90"/>
      <c r="J37" s="95" t="s">
        <v>66</v>
      </c>
      <c r="K37" s="95">
        <f t="shared" si="0"/>
        <v>1E-3</v>
      </c>
      <c r="L37" s="95">
        <f t="shared" si="0"/>
        <v>1E-3</v>
      </c>
      <c r="M37" s="95">
        <f>$M19</f>
        <v>1E-3</v>
      </c>
      <c r="N37" s="95">
        <f>$M19</f>
        <v>1E-3</v>
      </c>
      <c r="O37" s="90"/>
      <c r="P37" s="88"/>
      <c r="Q37" s="88"/>
      <c r="R37" s="88"/>
      <c r="S37" s="88"/>
      <c r="T37" s="88"/>
      <c r="U37" s="88"/>
    </row>
    <row r="38" spans="1:21" x14ac:dyDescent="0.25">
      <c r="A38" s="90"/>
      <c r="B38" s="95" t="s">
        <v>68</v>
      </c>
      <c r="C38" s="95">
        <v>0</v>
      </c>
      <c r="D38" s="95">
        <f>ABS(K19-K18)+ABS(L19-L18)</f>
        <v>311.59999999999997</v>
      </c>
      <c r="E38" s="95">
        <f>ABS(K20-K18)+ABS(L20-L18)</f>
        <v>226.2</v>
      </c>
      <c r="F38" s="95">
        <f>ABS(K21-K18)+ABS(L21-L18)</f>
        <v>134</v>
      </c>
      <c r="G38" s="90"/>
      <c r="H38" s="90"/>
      <c r="I38" s="90"/>
      <c r="J38" s="95" t="s">
        <v>64</v>
      </c>
      <c r="K38" s="95">
        <f t="shared" si="0"/>
        <v>3700</v>
      </c>
      <c r="L38" s="95">
        <f t="shared" si="0"/>
        <v>3700</v>
      </c>
      <c r="M38" s="95">
        <f>$M20</f>
        <v>3700</v>
      </c>
      <c r="N38" s="95">
        <f>$M20</f>
        <v>3700</v>
      </c>
      <c r="O38" s="90"/>
      <c r="P38" s="88"/>
      <c r="Q38" s="88"/>
      <c r="R38" s="88"/>
      <c r="S38" s="88"/>
      <c r="T38" s="88"/>
      <c r="U38" s="88"/>
    </row>
    <row r="39" spans="1:21" x14ac:dyDescent="0.25">
      <c r="A39" s="90"/>
      <c r="B39" s="95" t="s">
        <v>96</v>
      </c>
      <c r="C39" s="95">
        <f>ABS(C21-C20)+ABS(D21-D20)</f>
        <v>134</v>
      </c>
      <c r="D39" s="95">
        <f>ABS(K19-K21)+ABS(L19-L21)</f>
        <v>177.59999999999997</v>
      </c>
      <c r="E39" s="95">
        <f>ABS(K20-K21)+ABS(L20-L21)</f>
        <v>92.2</v>
      </c>
      <c r="F39" s="95">
        <v>0</v>
      </c>
      <c r="G39" s="90"/>
      <c r="H39" s="90"/>
      <c r="I39" s="90"/>
      <c r="J39" s="95" t="s">
        <v>96</v>
      </c>
      <c r="K39" s="95">
        <f t="shared" si="0"/>
        <v>4000</v>
      </c>
      <c r="L39" s="95">
        <f t="shared" si="0"/>
        <v>4000</v>
      </c>
      <c r="M39" s="95">
        <f>$M21</f>
        <v>4000</v>
      </c>
      <c r="N39" s="95">
        <v>0</v>
      </c>
      <c r="O39" s="90"/>
      <c r="P39" s="88"/>
      <c r="Q39" s="88"/>
      <c r="R39" s="88"/>
      <c r="S39" s="88"/>
      <c r="T39" s="88"/>
      <c r="U39" s="88"/>
    </row>
    <row r="40" spans="1:21" x14ac:dyDescent="0.25">
      <c r="A40" s="90"/>
      <c r="B40" s="90"/>
      <c r="C40" s="90"/>
      <c r="D40" s="90"/>
      <c r="E40" s="90"/>
      <c r="F40" s="90"/>
      <c r="G40" s="90"/>
      <c r="H40" s="90"/>
      <c r="I40" s="90"/>
      <c r="J40" s="95"/>
      <c r="K40" s="95"/>
      <c r="L40" s="95"/>
      <c r="M40" s="95"/>
      <c r="N40" s="95"/>
      <c r="O40" s="90"/>
      <c r="P40" s="88"/>
      <c r="Q40" s="88"/>
      <c r="R40" s="88"/>
      <c r="S40" s="88"/>
      <c r="T40" s="88"/>
      <c r="U40" s="88"/>
    </row>
    <row r="41" spans="1:21" x14ac:dyDescent="0.25">
      <c r="A41" s="90"/>
      <c r="B41" s="90"/>
      <c r="C41" s="90"/>
      <c r="D41" s="90"/>
      <c r="E41" s="90"/>
      <c r="F41" s="90"/>
      <c r="G41" s="90"/>
      <c r="H41" s="90"/>
      <c r="I41" s="90"/>
      <c r="J41" s="96" t="s">
        <v>14</v>
      </c>
      <c r="K41" s="96">
        <f>SUM(K36:K39)</f>
        <v>7700.0020000000004</v>
      </c>
      <c r="L41" s="96">
        <f t="shared" ref="L41:N41" si="1">SUM(L36:L39)</f>
        <v>7700.0020000000004</v>
      </c>
      <c r="M41" s="96">
        <f t="shared" si="1"/>
        <v>7700.0010000000002</v>
      </c>
      <c r="N41" s="96">
        <f t="shared" si="1"/>
        <v>3700.002</v>
      </c>
      <c r="O41" s="90"/>
      <c r="P41" s="88"/>
      <c r="Q41" s="88"/>
      <c r="R41" s="88"/>
      <c r="S41" s="88"/>
      <c r="T41" s="88"/>
      <c r="U41" s="88"/>
    </row>
    <row r="42" spans="1:21" x14ac:dyDescent="0.25">
      <c r="A42" s="90"/>
      <c r="B42" s="90"/>
      <c r="C42" s="90"/>
      <c r="D42" s="90"/>
      <c r="E42" s="90"/>
      <c r="F42" s="90"/>
      <c r="G42" s="90"/>
      <c r="H42" s="90"/>
      <c r="I42" s="90"/>
      <c r="J42" s="90"/>
      <c r="K42" s="90"/>
      <c r="L42" s="90"/>
      <c r="M42" s="90"/>
      <c r="N42" s="90"/>
      <c r="O42" s="88"/>
      <c r="P42" s="88"/>
      <c r="Q42" s="88"/>
      <c r="R42" s="88"/>
      <c r="S42" s="88"/>
      <c r="T42" s="88"/>
      <c r="U42" s="88"/>
    </row>
    <row r="43" spans="1:21" x14ac:dyDescent="0.25">
      <c r="A43" s="90"/>
      <c r="B43" s="93" t="s">
        <v>110</v>
      </c>
      <c r="C43" s="93"/>
      <c r="D43" s="93"/>
      <c r="E43" s="93" t="s">
        <v>111</v>
      </c>
      <c r="F43" s="93"/>
      <c r="G43" s="93"/>
      <c r="H43" s="93"/>
      <c r="I43" s="93"/>
      <c r="J43" s="93" t="s">
        <v>193</v>
      </c>
      <c r="K43" s="93"/>
      <c r="L43" s="90"/>
      <c r="M43" s="90"/>
      <c r="N43" s="90"/>
      <c r="O43" s="88"/>
      <c r="P43" s="88"/>
      <c r="Q43" s="88"/>
      <c r="R43" s="88"/>
      <c r="S43" s="88"/>
      <c r="T43" s="88"/>
      <c r="U43" s="88"/>
    </row>
    <row r="44" spans="1:21" x14ac:dyDescent="0.25">
      <c r="A44" s="91" t="s">
        <v>114</v>
      </c>
      <c r="B44" s="95"/>
      <c r="C44" s="94" t="s">
        <v>115</v>
      </c>
      <c r="D44" s="94"/>
      <c r="E44" s="94" t="s">
        <v>116</v>
      </c>
      <c r="F44" s="95"/>
      <c r="G44" s="95"/>
      <c r="H44" s="94"/>
      <c r="I44" s="95"/>
      <c r="J44" s="94" t="s">
        <v>118</v>
      </c>
      <c r="K44" s="94" t="s">
        <v>8</v>
      </c>
      <c r="L44" s="90"/>
      <c r="M44" s="90"/>
      <c r="N44" s="90"/>
      <c r="O44" s="88"/>
      <c r="P44" s="88"/>
      <c r="Q44" s="88"/>
      <c r="R44" s="88"/>
      <c r="S44" s="88"/>
      <c r="T44" s="88"/>
      <c r="U44" s="88"/>
    </row>
    <row r="45" spans="1:21" x14ac:dyDescent="0.25">
      <c r="A45" s="90"/>
      <c r="B45" s="95" t="s">
        <v>70</v>
      </c>
      <c r="C45" s="95">
        <f>MMULT(C36:F36,K36:K39)/K41</f>
        <v>142.10391441456767</v>
      </c>
      <c r="D45" s="95"/>
      <c r="E45" s="95">
        <f>SUMPRODUCT(C45:C48,E18:E21)</f>
        <v>1369136.125051657</v>
      </c>
      <c r="F45" s="95"/>
      <c r="G45" s="95"/>
      <c r="H45" s="95"/>
      <c r="I45" s="95"/>
      <c r="J45" s="94" t="s">
        <v>26</v>
      </c>
      <c r="K45" s="95" t="s">
        <v>68</v>
      </c>
      <c r="L45" s="95" t="s">
        <v>66</v>
      </c>
      <c r="M45" s="95" t="s">
        <v>64</v>
      </c>
      <c r="N45" s="95" t="s">
        <v>96</v>
      </c>
      <c r="O45" s="88"/>
      <c r="P45" s="88"/>
      <c r="Q45" s="88"/>
      <c r="R45" s="88"/>
      <c r="S45" s="88"/>
      <c r="T45" s="88"/>
      <c r="U45" s="88"/>
    </row>
    <row r="46" spans="1:21" x14ac:dyDescent="0.25">
      <c r="A46" s="90"/>
      <c r="B46" s="95" t="s">
        <v>73</v>
      </c>
      <c r="C46" s="95">
        <f>MMULT(C37:F37,L36:L39)/L41</f>
        <v>85.303914414567672</v>
      </c>
      <c r="D46" s="95"/>
      <c r="E46" s="95"/>
      <c r="F46" s="95"/>
      <c r="G46" s="95"/>
      <c r="H46" s="95"/>
      <c r="I46" s="95"/>
      <c r="J46" s="95" t="s">
        <v>70</v>
      </c>
      <c r="K46" s="95">
        <f t="shared" ref="K46:N47" si="2">$E18</f>
        <v>210</v>
      </c>
      <c r="L46" s="95">
        <f t="shared" si="2"/>
        <v>210</v>
      </c>
      <c r="M46" s="95">
        <f t="shared" si="2"/>
        <v>210</v>
      </c>
      <c r="N46" s="95">
        <f t="shared" si="2"/>
        <v>210</v>
      </c>
      <c r="O46" s="88"/>
      <c r="P46" s="88"/>
      <c r="Q46" s="88"/>
      <c r="R46" s="88"/>
      <c r="S46" s="88"/>
      <c r="T46" s="88"/>
      <c r="U46" s="88"/>
    </row>
    <row r="47" spans="1:21" x14ac:dyDescent="0.25">
      <c r="A47" s="90"/>
      <c r="B47" s="95" t="s">
        <v>68</v>
      </c>
      <c r="C47" s="95">
        <f>MMULT(C38:F38,M36:M39)/M41</f>
        <v>178.30391341507618</v>
      </c>
      <c r="D47" s="95"/>
      <c r="E47" s="95"/>
      <c r="F47" s="95"/>
      <c r="G47" s="95"/>
      <c r="H47" s="95"/>
      <c r="I47" s="95"/>
      <c r="J47" s="95" t="s">
        <v>73</v>
      </c>
      <c r="K47" s="95">
        <f t="shared" si="2"/>
        <v>785.00000000000034</v>
      </c>
      <c r="L47" s="95">
        <f t="shared" si="2"/>
        <v>785.00000000000034</v>
      </c>
      <c r="M47" s="95">
        <f t="shared" si="2"/>
        <v>785.00000000000034</v>
      </c>
      <c r="N47" s="95">
        <f t="shared" si="2"/>
        <v>785.00000000000034</v>
      </c>
      <c r="O47" s="88"/>
      <c r="P47" s="88"/>
      <c r="Q47" s="88"/>
      <c r="R47" s="88"/>
      <c r="S47" s="88"/>
      <c r="T47" s="88"/>
      <c r="U47" s="88"/>
    </row>
    <row r="48" spans="1:21" x14ac:dyDescent="0.25">
      <c r="A48" s="90"/>
      <c r="B48" s="95" t="s">
        <v>96</v>
      </c>
      <c r="C48" s="95">
        <f>MMULT(C39:F39,N36:N39)/N41</f>
        <v>92.200034378359803</v>
      </c>
      <c r="D48" s="95"/>
      <c r="E48" s="95"/>
      <c r="F48" s="95"/>
      <c r="G48" s="95"/>
      <c r="H48" s="95"/>
      <c r="I48" s="95"/>
      <c r="J48" s="95" t="s">
        <v>68</v>
      </c>
      <c r="K48" s="95">
        <f>$J76</f>
        <v>0</v>
      </c>
      <c r="L48" s="95">
        <f>$E20</f>
        <v>3516.078125</v>
      </c>
      <c r="M48" s="95">
        <f>$E20</f>
        <v>3516.078125</v>
      </c>
      <c r="N48" s="95">
        <f>$E20</f>
        <v>3516.078125</v>
      </c>
      <c r="O48" s="88"/>
      <c r="P48" s="88"/>
      <c r="Q48" s="88"/>
      <c r="R48" s="88"/>
      <c r="S48" s="88"/>
      <c r="T48" s="88"/>
      <c r="U48" s="88"/>
    </row>
    <row r="49" spans="1:21" x14ac:dyDescent="0.25">
      <c r="A49" s="90"/>
      <c r="B49" s="90"/>
      <c r="C49" s="90"/>
      <c r="D49" s="90"/>
      <c r="E49" s="90"/>
      <c r="F49" s="90"/>
      <c r="G49" s="90"/>
      <c r="H49" s="90"/>
      <c r="I49" s="90"/>
      <c r="J49" s="95" t="s">
        <v>96</v>
      </c>
      <c r="K49" s="95">
        <f>$E21</f>
        <v>7000</v>
      </c>
      <c r="L49" s="95">
        <f>$E21</f>
        <v>7000</v>
      </c>
      <c r="M49" s="95">
        <f>$E21</f>
        <v>7000</v>
      </c>
      <c r="N49" s="95">
        <v>0</v>
      </c>
      <c r="O49" s="88"/>
      <c r="P49" s="88"/>
      <c r="Q49" s="88"/>
      <c r="R49" s="88"/>
      <c r="S49" s="88"/>
      <c r="T49" s="88"/>
      <c r="U49" s="88"/>
    </row>
    <row r="50" spans="1:21" x14ac:dyDescent="0.25">
      <c r="A50" s="90"/>
      <c r="B50" s="90"/>
      <c r="C50" s="90"/>
      <c r="D50" s="90"/>
      <c r="E50" s="90"/>
      <c r="F50" s="90"/>
      <c r="G50" s="90"/>
      <c r="H50" s="90"/>
      <c r="I50" s="90"/>
      <c r="J50" s="95"/>
      <c r="K50" s="95"/>
      <c r="L50" s="95"/>
      <c r="M50" s="95"/>
      <c r="N50" s="95"/>
      <c r="O50" s="88"/>
      <c r="P50" s="90"/>
      <c r="Q50" s="90"/>
      <c r="R50" s="90"/>
      <c r="S50" s="90"/>
      <c r="T50" s="90"/>
      <c r="U50" s="88"/>
    </row>
    <row r="51" spans="1:21" x14ac:dyDescent="0.25">
      <c r="A51" s="90"/>
      <c r="B51" s="90"/>
      <c r="C51" s="90"/>
      <c r="D51" s="90"/>
      <c r="E51" s="90"/>
      <c r="F51" s="90"/>
      <c r="G51" s="90"/>
      <c r="H51" s="90"/>
      <c r="I51" s="90"/>
      <c r="J51" s="96" t="s">
        <v>14</v>
      </c>
      <c r="K51" s="96">
        <f>SUM(K46:K49)</f>
        <v>7995</v>
      </c>
      <c r="L51" s="96">
        <f t="shared" ref="L51:N51" si="3">SUM(L46:L49)</f>
        <v>11511.078125</v>
      </c>
      <c r="M51" s="96">
        <f t="shared" si="3"/>
        <v>11511.078125</v>
      </c>
      <c r="N51" s="96">
        <f t="shared" si="3"/>
        <v>4511.078125</v>
      </c>
      <c r="O51" s="88"/>
      <c r="P51" s="90"/>
      <c r="Q51" s="90"/>
      <c r="R51" s="90"/>
      <c r="S51" s="90"/>
      <c r="T51" s="90"/>
      <c r="U51" s="88"/>
    </row>
    <row r="52" spans="1:21" x14ac:dyDescent="0.25">
      <c r="A52" s="90"/>
      <c r="B52" s="90"/>
      <c r="C52" s="90"/>
      <c r="D52" s="90"/>
      <c r="E52" s="90"/>
      <c r="F52" s="90"/>
      <c r="G52" s="90"/>
      <c r="H52" s="90"/>
      <c r="I52" s="90"/>
      <c r="J52" s="90"/>
      <c r="K52" s="90"/>
      <c r="L52" s="90"/>
      <c r="M52" s="90"/>
      <c r="N52" s="90"/>
      <c r="O52" s="88"/>
      <c r="P52" s="90"/>
      <c r="Q52" s="97"/>
      <c r="R52" s="90"/>
      <c r="S52" s="90"/>
      <c r="T52" s="90"/>
      <c r="U52" s="88"/>
    </row>
    <row r="53" spans="1:21" x14ac:dyDescent="0.25">
      <c r="A53" s="90"/>
      <c r="B53" s="93" t="s">
        <v>194</v>
      </c>
      <c r="C53" s="93"/>
      <c r="D53" s="93"/>
      <c r="E53" s="93" t="s">
        <v>195</v>
      </c>
      <c r="F53" s="93"/>
      <c r="G53" s="93"/>
      <c r="H53" s="93"/>
      <c r="I53" s="93"/>
      <c r="J53" s="98" t="s">
        <v>196</v>
      </c>
      <c r="K53" s="99"/>
      <c r="L53" s="100"/>
      <c r="M53" s="101"/>
      <c r="N53" s="102"/>
      <c r="O53" s="88"/>
      <c r="U53" s="88"/>
    </row>
    <row r="54" spans="1:21" x14ac:dyDescent="0.25">
      <c r="A54" s="90"/>
      <c r="B54" s="95"/>
      <c r="C54" s="94" t="s">
        <v>122</v>
      </c>
      <c r="D54" s="94"/>
      <c r="E54" s="94" t="s">
        <v>116</v>
      </c>
      <c r="F54" s="94"/>
      <c r="G54" s="94"/>
      <c r="H54" s="94"/>
      <c r="I54" s="90"/>
      <c r="J54" s="103"/>
      <c r="K54" s="88"/>
      <c r="L54" s="88"/>
      <c r="M54" s="38"/>
      <c r="N54" s="39"/>
      <c r="O54" s="90"/>
      <c r="U54" s="88"/>
    </row>
    <row r="55" spans="1:21" x14ac:dyDescent="0.25">
      <c r="A55" s="90"/>
      <c r="B55" s="95" t="s">
        <v>68</v>
      </c>
      <c r="C55" s="95">
        <f>SUMPRODUCT(K46:K49,C36:C39)/K51</f>
        <v>130.38936835522202</v>
      </c>
      <c r="D55" s="90"/>
      <c r="E55" s="95">
        <f>SUMPRODUCT(C55:C58,M18:M21)</f>
        <v>974055.31259063992</v>
      </c>
      <c r="F55" s="95"/>
      <c r="G55" s="95"/>
      <c r="H55" s="95"/>
      <c r="J55" s="104" t="s">
        <v>135</v>
      </c>
      <c r="K55" s="105" t="s">
        <v>136</v>
      </c>
      <c r="L55" s="88"/>
      <c r="M55" s="38"/>
      <c r="N55" s="39"/>
      <c r="O55" s="90"/>
      <c r="U55" s="88"/>
    </row>
    <row r="56" spans="1:21" x14ac:dyDescent="0.25">
      <c r="A56" s="90"/>
      <c r="B56" s="95" t="s">
        <v>66</v>
      </c>
      <c r="C56" s="95">
        <f>SUMPRODUCT(L46:L49,D36:D39)/L51</f>
        <v>223.11072132958873</v>
      </c>
      <c r="D56" s="90"/>
      <c r="E56" s="95"/>
      <c r="F56" s="95"/>
      <c r="G56" s="95"/>
      <c r="H56" s="95"/>
      <c r="J56" s="106">
        <f>M77</f>
        <v>3.7128459211793578E-2</v>
      </c>
      <c r="K56" s="107">
        <f>J56*E18</f>
        <v>7.796976434476651</v>
      </c>
      <c r="L56" s="107"/>
      <c r="M56" s="38"/>
      <c r="N56" s="39"/>
      <c r="O56" s="90"/>
      <c r="U56" s="88"/>
    </row>
    <row r="57" spans="1:21" x14ac:dyDescent="0.25">
      <c r="A57" s="90"/>
      <c r="B57" s="95" t="s">
        <v>64</v>
      </c>
      <c r="C57" s="95">
        <f>SUMPRODUCT(M46:M49,E36:E39)/M51</f>
        <v>137.71072132958875</v>
      </c>
      <c r="D57" s="90"/>
      <c r="E57" s="95"/>
      <c r="F57" s="95"/>
      <c r="G57" s="95"/>
      <c r="H57" s="95"/>
      <c r="J57" s="106">
        <f>M77</f>
        <v>3.7128459211793578E-2</v>
      </c>
      <c r="K57" s="107">
        <f>J57*E19</f>
        <v>29.14584048125797</v>
      </c>
      <c r="L57" s="107"/>
      <c r="M57" s="38"/>
      <c r="N57" s="39"/>
      <c r="O57" s="90"/>
      <c r="U57" s="88"/>
    </row>
    <row r="58" spans="1:21" x14ac:dyDescent="0.25">
      <c r="A58" s="90"/>
      <c r="B58" s="95" t="s">
        <v>96</v>
      </c>
      <c r="C58" s="95">
        <f>SUMPRODUCT(N46:N49,F36:F39)/N51</f>
        <v>116.13132254276798</v>
      </c>
      <c r="D58" s="90"/>
      <c r="E58" s="95"/>
      <c r="F58" s="95"/>
      <c r="G58" s="95"/>
      <c r="H58" s="95"/>
      <c r="J58" s="106">
        <f>M77</f>
        <v>3.7128459211793578E-2</v>
      </c>
      <c r="K58" s="107">
        <f>J58*E20</f>
        <v>130.54656324954215</v>
      </c>
      <c r="L58" s="107"/>
      <c r="M58" s="88"/>
      <c r="N58" s="108"/>
      <c r="O58" s="90"/>
      <c r="U58" s="88"/>
    </row>
    <row r="59" spans="1:21" x14ac:dyDescent="0.25">
      <c r="A59" s="90"/>
      <c r="B59" s="90"/>
      <c r="C59" s="90"/>
      <c r="D59" s="90"/>
      <c r="E59" s="90"/>
      <c r="F59" s="90"/>
      <c r="G59" s="90"/>
      <c r="H59" s="90"/>
      <c r="J59" s="106">
        <v>0</v>
      </c>
      <c r="K59" s="107">
        <f>J59*E21</f>
        <v>0</v>
      </c>
      <c r="L59" s="107"/>
      <c r="M59" s="88"/>
      <c r="N59" s="108"/>
      <c r="O59" s="90"/>
      <c r="U59" s="88"/>
    </row>
    <row r="60" spans="1:21" x14ac:dyDescent="0.25">
      <c r="A60" s="90"/>
      <c r="B60" s="93"/>
      <c r="C60" s="93"/>
      <c r="D60" s="93"/>
      <c r="E60" s="93"/>
      <c r="F60" s="93"/>
      <c r="G60" s="93"/>
      <c r="H60" s="90"/>
      <c r="J60" s="106"/>
      <c r="K60" s="107"/>
      <c r="L60" s="107"/>
      <c r="M60" s="88"/>
      <c r="N60" s="108"/>
      <c r="O60" s="90"/>
      <c r="U60" s="88"/>
    </row>
    <row r="61" spans="1:21" x14ac:dyDescent="0.25">
      <c r="A61" s="90"/>
      <c r="B61" s="90"/>
      <c r="C61" s="90"/>
      <c r="D61" s="90"/>
      <c r="E61" s="90"/>
      <c r="F61" s="90"/>
      <c r="G61" s="90"/>
      <c r="H61" s="90"/>
      <c r="J61" s="103"/>
      <c r="K61" s="109">
        <f>SUM(K56:K59)</f>
        <v>167.48938016527677</v>
      </c>
      <c r="L61" s="88"/>
      <c r="M61" s="88"/>
      <c r="N61" s="108"/>
      <c r="O61" s="90"/>
      <c r="U61" s="88"/>
    </row>
    <row r="62" spans="1:21" x14ac:dyDescent="0.25">
      <c r="A62" s="90"/>
      <c r="B62" s="94"/>
      <c r="C62" s="94"/>
      <c r="D62" s="94"/>
      <c r="J62" s="103"/>
      <c r="K62" s="88"/>
      <c r="L62" s="88"/>
      <c r="M62" s="88"/>
      <c r="N62" s="108"/>
      <c r="O62" s="90"/>
      <c r="U62" s="88"/>
    </row>
    <row r="63" spans="1:21" x14ac:dyDescent="0.25">
      <c r="A63" s="90"/>
      <c r="B63" s="95"/>
      <c r="C63" s="95"/>
      <c r="D63" s="95"/>
      <c r="J63" s="103"/>
      <c r="K63" s="88"/>
      <c r="L63" s="88"/>
      <c r="M63" s="88"/>
      <c r="N63" s="108"/>
      <c r="O63" s="90"/>
      <c r="U63" s="88"/>
    </row>
    <row r="64" spans="1:21" x14ac:dyDescent="0.25">
      <c r="A64" s="90"/>
      <c r="J64" s="110" t="s">
        <v>197</v>
      </c>
      <c r="K64" s="111"/>
      <c r="L64" s="88"/>
      <c r="M64" s="88"/>
      <c r="N64" s="108"/>
      <c r="O64" s="90"/>
      <c r="U64" s="88"/>
    </row>
    <row r="65" spans="1:21" x14ac:dyDescent="0.25">
      <c r="A65" s="90"/>
      <c r="J65" s="103"/>
      <c r="K65" s="88"/>
      <c r="L65" s="88"/>
      <c r="M65" s="88"/>
      <c r="N65" s="108"/>
      <c r="O65" s="90"/>
      <c r="U65" s="88"/>
    </row>
    <row r="66" spans="1:21" x14ac:dyDescent="0.25">
      <c r="A66" s="90"/>
      <c r="H66" s="90"/>
      <c r="J66" s="104" t="s">
        <v>149</v>
      </c>
      <c r="K66" s="105" t="s">
        <v>150</v>
      </c>
      <c r="L66" s="88"/>
      <c r="M66" s="88"/>
      <c r="N66" s="108"/>
      <c r="O66" s="90"/>
      <c r="U66" s="88"/>
    </row>
    <row r="67" spans="1:21" x14ac:dyDescent="0.25">
      <c r="A67" s="90"/>
      <c r="H67" s="90"/>
      <c r="J67" s="106">
        <f>M77</f>
        <v>3.7128459211793578E-2</v>
      </c>
      <c r="K67" s="107">
        <f>J67*M18</f>
        <v>3.7128459211793578E-5</v>
      </c>
      <c r="L67" s="107"/>
      <c r="M67" s="88"/>
      <c r="N67" s="108"/>
      <c r="O67" s="90"/>
      <c r="U67" s="88"/>
    </row>
    <row r="68" spans="1:21" x14ac:dyDescent="0.25">
      <c r="A68" s="90"/>
      <c r="B68" s="90"/>
      <c r="C68" s="90"/>
      <c r="D68" s="90"/>
      <c r="E68" s="112"/>
      <c r="F68" s="90"/>
      <c r="G68" s="90"/>
      <c r="H68" s="90"/>
      <c r="J68" s="106">
        <f>M77</f>
        <v>3.7128459211793578E-2</v>
      </c>
      <c r="K68" s="107">
        <f>J68*M19</f>
        <v>3.7128459211793578E-5</v>
      </c>
      <c r="L68" s="107"/>
      <c r="M68" s="88"/>
      <c r="N68" s="108"/>
      <c r="O68" s="90"/>
      <c r="U68" s="88"/>
    </row>
    <row r="69" spans="1:21" x14ac:dyDescent="0.25">
      <c r="A69" s="90"/>
      <c r="B69" s="90"/>
      <c r="C69" s="90"/>
      <c r="D69" s="90"/>
      <c r="E69" s="90"/>
      <c r="F69" s="90"/>
      <c r="G69" s="90"/>
      <c r="H69" s="90"/>
      <c r="J69" s="106">
        <f>M77</f>
        <v>3.7128459211793578E-2</v>
      </c>
      <c r="K69" s="107">
        <f>J69*M20</f>
        <v>137.37529908363624</v>
      </c>
      <c r="L69" s="107"/>
      <c r="M69" s="88"/>
      <c r="N69" s="108"/>
      <c r="O69" s="90"/>
      <c r="U69" s="88"/>
    </row>
    <row r="70" spans="1:21" x14ac:dyDescent="0.25">
      <c r="A70" s="90"/>
      <c r="B70" s="90"/>
      <c r="C70" s="90"/>
      <c r="D70" s="90"/>
      <c r="E70" s="90"/>
      <c r="F70" s="90"/>
      <c r="G70" s="90"/>
      <c r="H70" s="90"/>
      <c r="J70" s="106">
        <v>0</v>
      </c>
      <c r="K70" s="107">
        <f>J70*M21</f>
        <v>0</v>
      </c>
      <c r="L70" s="107"/>
      <c r="M70" s="88"/>
      <c r="N70" s="108"/>
      <c r="O70" s="90"/>
      <c r="U70" s="88"/>
    </row>
    <row r="71" spans="1:21" x14ac:dyDescent="0.25">
      <c r="A71" s="90"/>
      <c r="B71" s="93"/>
      <c r="C71" s="93"/>
      <c r="D71" s="93"/>
      <c r="E71" s="93"/>
      <c r="F71" s="93"/>
      <c r="G71" s="93"/>
      <c r="H71" s="90"/>
      <c r="J71" s="106"/>
      <c r="K71" s="107"/>
      <c r="L71" s="107"/>
      <c r="M71" s="88"/>
      <c r="N71" s="108"/>
      <c r="O71" s="90"/>
      <c r="U71" s="88"/>
    </row>
    <row r="72" spans="1:21" x14ac:dyDescent="0.25">
      <c r="A72" s="90"/>
      <c r="B72" s="90"/>
      <c r="C72" s="90"/>
      <c r="D72" s="90"/>
      <c r="E72" s="90"/>
      <c r="F72" s="90"/>
      <c r="G72" s="90"/>
      <c r="H72" s="90"/>
      <c r="J72" s="103"/>
      <c r="K72" s="109">
        <f>SUM(K67:K70)</f>
        <v>137.37537334055466</v>
      </c>
      <c r="L72" s="88"/>
      <c r="M72" s="88"/>
      <c r="N72" s="108"/>
      <c r="O72" s="90"/>
      <c r="U72" s="88"/>
    </row>
    <row r="73" spans="1:21" x14ac:dyDescent="0.25">
      <c r="A73" s="90"/>
      <c r="B73" s="94"/>
      <c r="C73" s="94"/>
      <c r="D73" s="94"/>
      <c r="E73" s="94"/>
      <c r="F73" s="94"/>
      <c r="G73" s="90"/>
      <c r="H73" s="90"/>
      <c r="J73" s="113"/>
      <c r="K73" s="38"/>
      <c r="L73" s="38"/>
      <c r="M73" s="88"/>
      <c r="N73" s="108"/>
      <c r="O73" s="90"/>
      <c r="U73" s="88"/>
    </row>
    <row r="74" spans="1:21" x14ac:dyDescent="0.25">
      <c r="A74" s="90"/>
      <c r="B74" s="95"/>
      <c r="C74" s="95"/>
      <c r="D74" s="95"/>
      <c r="E74" s="95"/>
      <c r="F74" s="95"/>
      <c r="G74" s="95"/>
      <c r="H74" s="90"/>
      <c r="J74" s="113"/>
      <c r="K74" s="38"/>
      <c r="L74" s="38"/>
      <c r="M74" s="88"/>
      <c r="N74" s="108"/>
      <c r="O74" s="90"/>
      <c r="U74" s="88"/>
    </row>
    <row r="75" spans="1:21" x14ac:dyDescent="0.25">
      <c r="A75" s="90"/>
      <c r="B75" s="95"/>
      <c r="C75" s="95"/>
      <c r="D75" s="95"/>
      <c r="E75" s="95"/>
      <c r="F75" s="95"/>
      <c r="G75" s="95"/>
      <c r="H75" s="90"/>
      <c r="J75" s="114"/>
      <c r="K75" s="115"/>
      <c r="L75" s="115"/>
      <c r="M75" s="115"/>
      <c r="N75" s="116"/>
      <c r="O75" s="90"/>
      <c r="U75" s="88"/>
    </row>
    <row r="76" spans="1:21" x14ac:dyDescent="0.25">
      <c r="A76" s="90"/>
      <c r="B76" s="95"/>
      <c r="C76" s="95"/>
      <c r="D76" s="95"/>
      <c r="E76" s="95"/>
      <c r="F76" s="95"/>
      <c r="G76" s="95"/>
      <c r="H76" s="90"/>
      <c r="J76" s="114"/>
      <c r="K76" s="115" t="s">
        <v>30</v>
      </c>
      <c r="L76" s="115"/>
      <c r="M76" s="115" t="s">
        <v>198</v>
      </c>
      <c r="N76" s="116"/>
      <c r="O76" s="90"/>
      <c r="P76" s="90"/>
      <c r="U76" s="88"/>
    </row>
    <row r="77" spans="1:21" x14ac:dyDescent="0.25">
      <c r="A77" s="90"/>
      <c r="B77" s="95"/>
      <c r="C77" s="95"/>
      <c r="D77" s="95"/>
      <c r="E77" s="95"/>
      <c r="F77" s="95"/>
      <c r="G77" s="95"/>
      <c r="H77" s="90"/>
      <c r="J77" s="114" t="s">
        <v>199</v>
      </c>
      <c r="K77" s="115">
        <f>'15. Current tariff method 22'!B20</f>
        <v>37.128459211793576</v>
      </c>
      <c r="L77" s="115"/>
      <c r="M77" s="115">
        <f>K77*10^(-3)</f>
        <v>3.7128459211793578E-2</v>
      </c>
      <c r="N77" s="116"/>
      <c r="O77" s="90"/>
      <c r="U77" s="88"/>
    </row>
    <row r="78" spans="1:21" x14ac:dyDescent="0.25">
      <c r="A78" s="90"/>
      <c r="B78" s="95"/>
      <c r="C78" s="95"/>
      <c r="D78" s="95"/>
      <c r="E78" s="95"/>
      <c r="F78" s="95"/>
      <c r="G78" s="95"/>
      <c r="H78" s="90"/>
      <c r="J78" s="117"/>
      <c r="K78" s="118"/>
      <c r="L78" s="118"/>
      <c r="M78" s="118"/>
      <c r="N78" s="119"/>
      <c r="O78" s="90"/>
      <c r="U78" s="88"/>
    </row>
    <row r="79" spans="1:21" x14ac:dyDescent="0.25">
      <c r="A79" s="90"/>
      <c r="B79" s="90"/>
      <c r="C79" s="90"/>
      <c r="D79" s="90"/>
      <c r="E79" s="112"/>
      <c r="F79" s="90"/>
      <c r="G79" s="90"/>
      <c r="H79" s="90"/>
      <c r="M79" s="88"/>
      <c r="N79" s="88"/>
      <c r="O79" s="90"/>
      <c r="U79" s="88"/>
    </row>
    <row r="80" spans="1:21" x14ac:dyDescent="0.25">
      <c r="A80" s="90"/>
      <c r="B80" s="90"/>
      <c r="C80" s="90"/>
      <c r="D80" s="90"/>
      <c r="E80" s="90"/>
      <c r="F80" s="90"/>
      <c r="G80" s="90"/>
      <c r="H80" s="90"/>
      <c r="M80" s="88"/>
      <c r="N80" s="88"/>
      <c r="O80" s="60"/>
      <c r="P80" s="88"/>
      <c r="Q80" s="88"/>
      <c r="R80" s="88"/>
      <c r="S80" s="88"/>
      <c r="T80" s="88"/>
      <c r="U80" s="88"/>
    </row>
    <row r="81" spans="1:12" ht="18.75" x14ac:dyDescent="0.3">
      <c r="A81" s="120"/>
      <c r="B81" s="60"/>
      <c r="C81" s="60"/>
      <c r="D81" s="60"/>
      <c r="E81" s="60"/>
      <c r="F81" s="60"/>
      <c r="G81" s="60"/>
      <c r="H81" s="60"/>
    </row>
    <row r="83" spans="1:12" x14ac:dyDescent="0.25">
      <c r="B83" s="68" t="s">
        <v>152</v>
      </c>
      <c r="J83" s="68" t="s">
        <v>153</v>
      </c>
    </row>
    <row r="84" spans="1:12" x14ac:dyDescent="0.25">
      <c r="B84" s="69" t="s">
        <v>154</v>
      </c>
      <c r="C84" s="69" t="s">
        <v>155</v>
      </c>
      <c r="D84" s="69" t="s">
        <v>156</v>
      </c>
      <c r="E84" s="69" t="s">
        <v>156</v>
      </c>
      <c r="F84" s="69" t="s">
        <v>155</v>
      </c>
      <c r="G84" s="74"/>
      <c r="J84" s="75" t="s">
        <v>157</v>
      </c>
      <c r="K84" s="75"/>
      <c r="L84" s="75"/>
    </row>
    <row r="85" spans="1:12" x14ac:dyDescent="0.25">
      <c r="B85" s="62"/>
      <c r="C85" s="62" t="s">
        <v>64</v>
      </c>
      <c r="D85" s="62" t="s">
        <v>68</v>
      </c>
      <c r="E85" s="62" t="s">
        <v>66</v>
      </c>
      <c r="F85" s="62" t="s">
        <v>96</v>
      </c>
      <c r="G85" s="74"/>
      <c r="J85" s="74"/>
      <c r="K85" s="69" t="s">
        <v>158</v>
      </c>
      <c r="L85" s="69" t="s">
        <v>159</v>
      </c>
    </row>
    <row r="86" spans="1:12" x14ac:dyDescent="0.25">
      <c r="B86" s="69" t="s">
        <v>160</v>
      </c>
      <c r="C86" s="62">
        <f>M20</f>
        <v>3700</v>
      </c>
      <c r="D86" s="62">
        <f>M18</f>
        <v>1E-3</v>
      </c>
      <c r="E86" s="62">
        <f>M19</f>
        <v>1E-3</v>
      </c>
      <c r="F86" s="62">
        <f>M21</f>
        <v>4000</v>
      </c>
      <c r="G86" s="74"/>
      <c r="J86" s="76" t="s">
        <v>70</v>
      </c>
      <c r="K86" s="62">
        <f>(K38*E36+K39*F36)/SUM(K38,K39)</f>
        <v>142.10389610389609</v>
      </c>
      <c r="L86" s="62">
        <f>(K36*C36+K37*D36)/SUM(K36,K37)</f>
        <v>212.6</v>
      </c>
    </row>
    <row r="87" spans="1:12" x14ac:dyDescent="0.25">
      <c r="B87" s="69" t="s">
        <v>161</v>
      </c>
      <c r="C87" s="62">
        <f>C86*C57</f>
        <v>509529.66891947837</v>
      </c>
      <c r="D87" s="62">
        <f>D86*C55</f>
        <v>0.13038936835522202</v>
      </c>
      <c r="E87" s="62">
        <f>E86*C56</f>
        <v>0.22311072132958873</v>
      </c>
      <c r="F87" s="62">
        <f>F86*C58</f>
        <v>464525.29017107189</v>
      </c>
      <c r="G87" s="74"/>
      <c r="J87" s="76" t="s">
        <v>73</v>
      </c>
      <c r="K87" s="62">
        <f>(L38*E37+L39*F37)/SUM(L38,L39)</f>
        <v>85.303896103896108</v>
      </c>
      <c r="L87" s="62">
        <f>(L36*C37+L37*D37)/SUM(L36,L37)</f>
        <v>155.79999999999998</v>
      </c>
    </row>
    <row r="88" spans="1:12" x14ac:dyDescent="0.25">
      <c r="J88" s="76" t="s">
        <v>68</v>
      </c>
      <c r="K88" s="62">
        <f>(M38*E38+M39*F38)/SUM(M38,M39)</f>
        <v>178.30389610389611</v>
      </c>
      <c r="L88" s="62">
        <f>(M36*C38+M37*D38)/SUM(M36,M37)</f>
        <v>311.59999999999997</v>
      </c>
    </row>
    <row r="89" spans="1:12" x14ac:dyDescent="0.25">
      <c r="C89" s="62" t="s">
        <v>162</v>
      </c>
      <c r="J89" s="76" t="s">
        <v>96</v>
      </c>
      <c r="K89" s="62">
        <f>(N38*E39+N39*F39)/SUM(N38,N39)</f>
        <v>92.2</v>
      </c>
      <c r="L89" s="62">
        <f>(N36*C39+N37*D39)/SUM(N36,N37)</f>
        <v>155.79999999999998</v>
      </c>
    </row>
    <row r="90" spans="1:12" x14ac:dyDescent="0.25">
      <c r="B90" s="68" t="s">
        <v>163</v>
      </c>
      <c r="J90" s="68" t="s">
        <v>164</v>
      </c>
      <c r="K90" s="62"/>
      <c r="L90" s="62"/>
    </row>
    <row r="91" spans="1:12" ht="34.5" x14ac:dyDescent="0.25">
      <c r="C91" s="76" t="s">
        <v>165</v>
      </c>
      <c r="D91" s="76" t="s">
        <v>166</v>
      </c>
      <c r="E91" s="76" t="s">
        <v>167</v>
      </c>
      <c r="F91" s="76" t="s">
        <v>168</v>
      </c>
      <c r="G91" s="76" t="s">
        <v>169</v>
      </c>
      <c r="J91" s="76" t="s">
        <v>170</v>
      </c>
      <c r="K91" s="62">
        <f>SUMPRODUCT(C92:C95,J56:J59)</f>
        <v>2.9100554847511604E-5</v>
      </c>
      <c r="L91" s="62"/>
    </row>
    <row r="92" spans="1:12" ht="23.25" x14ac:dyDescent="0.25">
      <c r="B92" s="76" t="s">
        <v>70</v>
      </c>
      <c r="C92" s="62">
        <f>SUM($D$86:$E$86)/SUM($E$18:$E$21)*E18</f>
        <v>3.648659104205324E-5</v>
      </c>
      <c r="D92" s="62" t="s">
        <v>171</v>
      </c>
      <c r="E92" s="62">
        <f>E18-C92</f>
        <v>209.99996351340897</v>
      </c>
      <c r="F92" s="62">
        <f>C92*L86</f>
        <v>7.7570492555405187E-3</v>
      </c>
      <c r="G92" s="62">
        <f>E92*K86</f>
        <v>29841.81299693144</v>
      </c>
      <c r="J92" s="76" t="s">
        <v>172</v>
      </c>
      <c r="K92" s="62">
        <f>K61-K91</f>
        <v>167.48935106472192</v>
      </c>
      <c r="L92" s="62"/>
    </row>
    <row r="93" spans="1:12" ht="23.25" x14ac:dyDescent="0.25">
      <c r="B93" s="76" t="s">
        <v>73</v>
      </c>
      <c r="C93" s="62">
        <f>SUM($D$86:$E$86)/SUM($E$18:$E$21)*E19</f>
        <v>1.3639035222862765E-4</v>
      </c>
      <c r="D93" s="62" t="s">
        <v>171</v>
      </c>
      <c r="E93" s="62">
        <f>E19-C93</f>
        <v>784.99986360964806</v>
      </c>
      <c r="F93" s="62">
        <f>C93*L87</f>
        <v>2.1249616877220184E-2</v>
      </c>
      <c r="G93" s="62">
        <f>E93*K87</f>
        <v>66963.546806930026</v>
      </c>
      <c r="J93" s="76" t="s">
        <v>173</v>
      </c>
      <c r="K93" s="62">
        <f>D86*J67+E86*J68</f>
        <v>7.4256918423587157E-5</v>
      </c>
      <c r="L93" s="62"/>
    </row>
    <row r="94" spans="1:12" ht="23.25" x14ac:dyDescent="0.25">
      <c r="B94" s="76" t="s">
        <v>68</v>
      </c>
      <c r="C94" s="62">
        <f>SUM($D$86:$E$86)/SUM($E$18:$E$21)*E20</f>
        <v>6.109033553275445E-4</v>
      </c>
      <c r="D94" s="62" t="s">
        <v>171</v>
      </c>
      <c r="E94" s="62">
        <f>E20-C94</f>
        <v>3516.0775140966448</v>
      </c>
      <c r="F94" s="62">
        <f>C94*L88</f>
        <v>0.19035748552006285</v>
      </c>
      <c r="G94" s="62">
        <f>E94*K88</f>
        <v>626930.31976673345</v>
      </c>
      <c r="J94" s="76" t="s">
        <v>174</v>
      </c>
      <c r="K94" s="62">
        <f>K72-K93</f>
        <v>137.37529908363624</v>
      </c>
      <c r="L94" s="62"/>
    </row>
    <row r="95" spans="1:12" x14ac:dyDescent="0.25">
      <c r="B95" s="76" t="s">
        <v>96</v>
      </c>
      <c r="C95" s="62">
        <f>SUM($D$86:$E$86)/SUM($E$18:$E$21)*E21</f>
        <v>1.2162197014017747E-3</v>
      </c>
      <c r="D95" s="62" t="s">
        <v>171</v>
      </c>
      <c r="E95" s="62">
        <f>E21-C95</f>
        <v>6999.9987837802983</v>
      </c>
      <c r="F95" s="62">
        <f>C95*L89</f>
        <v>0.18948702947839649</v>
      </c>
      <c r="G95" s="62">
        <f>E95*K89</f>
        <v>645399.88786454347</v>
      </c>
      <c r="H95" s="69"/>
      <c r="J95" s="76" t="s">
        <v>175</v>
      </c>
      <c r="K95" s="62">
        <f>K92+K94</f>
        <v>304.86465014835812</v>
      </c>
      <c r="L95" s="62"/>
    </row>
    <row r="96" spans="1:12" x14ac:dyDescent="0.25">
      <c r="B96" s="76"/>
      <c r="C96" s="62"/>
      <c r="D96" s="62"/>
      <c r="E96" s="62"/>
      <c r="F96" s="62"/>
      <c r="G96" s="62"/>
      <c r="J96" s="76" t="s">
        <v>176</v>
      </c>
      <c r="K96" s="62">
        <f>K91+K93</f>
        <v>1.0335747327109876E-4</v>
      </c>
      <c r="L96" s="62"/>
    </row>
    <row r="97" spans="2:12" x14ac:dyDescent="0.25">
      <c r="B97" s="76" t="s">
        <v>177</v>
      </c>
      <c r="C97" s="62">
        <f>SUM(C92:C95)</f>
        <v>2E-3</v>
      </c>
      <c r="D97" s="62"/>
      <c r="E97" s="62">
        <f>SUM(E92:E95)</f>
        <v>11511.076125</v>
      </c>
      <c r="F97" s="62">
        <f>SUM(F92:F95)</f>
        <v>0.40885118113122004</v>
      </c>
      <c r="G97" s="62">
        <f>SUM(G92:G95)</f>
        <v>1369135.5674351384</v>
      </c>
    </row>
    <row r="98" spans="2:12" x14ac:dyDescent="0.25">
      <c r="B98" s="76"/>
      <c r="C98" s="62"/>
      <c r="D98" s="62"/>
      <c r="E98" s="62"/>
      <c r="F98" s="62"/>
      <c r="G98" s="62"/>
    </row>
    <row r="99" spans="2:12" x14ac:dyDescent="0.25">
      <c r="B99" s="76" t="s">
        <v>178</v>
      </c>
      <c r="C99" s="62">
        <f>SUM(D86:E86)</f>
        <v>2E-3</v>
      </c>
      <c r="D99" s="62"/>
      <c r="E99" s="62"/>
      <c r="F99" s="62"/>
      <c r="G99" s="62"/>
    </row>
    <row r="100" spans="2:12" x14ac:dyDescent="0.25">
      <c r="B100" s="76"/>
    </row>
    <row r="101" spans="2:12" x14ac:dyDescent="0.25">
      <c r="B101" s="76"/>
    </row>
    <row r="102" spans="2:12" x14ac:dyDescent="0.25">
      <c r="B102" s="68" t="s">
        <v>179</v>
      </c>
      <c r="J102" s="68" t="s">
        <v>180</v>
      </c>
    </row>
    <row r="103" spans="2:12" x14ac:dyDescent="0.25">
      <c r="B103" s="76" t="s">
        <v>169</v>
      </c>
      <c r="C103" s="78"/>
      <c r="D103" s="62">
        <f>G97</f>
        <v>1369135.5674351384</v>
      </c>
      <c r="E103" s="62"/>
      <c r="J103" s="79" t="s">
        <v>181</v>
      </c>
      <c r="K103" s="80"/>
      <c r="L103" s="81"/>
    </row>
    <row r="104" spans="2:12" x14ac:dyDescent="0.25">
      <c r="B104" s="76" t="s">
        <v>182</v>
      </c>
      <c r="C104" s="78"/>
      <c r="D104" s="62">
        <f>C87+F87</f>
        <v>974054.9590905502</v>
      </c>
      <c r="E104" s="62"/>
      <c r="J104" s="82" t="s">
        <v>183</v>
      </c>
      <c r="K104" s="83">
        <f>K95*10^6/D105</f>
        <v>130.10664164829529</v>
      </c>
      <c r="L104" s="84" t="s">
        <v>184</v>
      </c>
    </row>
    <row r="105" spans="2:12" x14ac:dyDescent="0.25">
      <c r="B105" s="76" t="s">
        <v>185</v>
      </c>
      <c r="C105" s="78"/>
      <c r="D105" s="62">
        <f>SUM(D103:D104)</f>
        <v>2343190.5265256884</v>
      </c>
      <c r="E105" s="62"/>
      <c r="J105" s="82" t="s">
        <v>186</v>
      </c>
      <c r="K105" s="83">
        <f>K96*10^6/D108</f>
        <v>135.57722958927266</v>
      </c>
      <c r="L105" s="84" t="s">
        <v>187</v>
      </c>
    </row>
    <row r="106" spans="2:12" x14ac:dyDescent="0.25">
      <c r="B106" s="76" t="s">
        <v>188</v>
      </c>
      <c r="C106" s="78"/>
      <c r="D106" s="62">
        <f>F97</f>
        <v>0.40885118113122004</v>
      </c>
      <c r="E106" s="62"/>
      <c r="J106" s="82" t="s">
        <v>189</v>
      </c>
      <c r="K106" s="85">
        <f>2*(ABS(K104-K105))/(K104+K105)</f>
        <v>4.1181182098071006E-2</v>
      </c>
      <c r="L106" s="84" t="s">
        <v>190</v>
      </c>
    </row>
    <row r="107" spans="2:12" x14ac:dyDescent="0.25">
      <c r="B107" s="76" t="s">
        <v>191</v>
      </c>
      <c r="C107" s="78"/>
      <c r="D107" s="62">
        <f>SUM(D87:E87)</f>
        <v>0.35350008968481073</v>
      </c>
      <c r="E107" s="62"/>
    </row>
    <row r="108" spans="2:12" x14ac:dyDescent="0.25">
      <c r="B108" s="76" t="s">
        <v>192</v>
      </c>
      <c r="C108" s="78"/>
      <c r="D108" s="62">
        <f>SUM(D106:D107)</f>
        <v>0.76235127081603071</v>
      </c>
      <c r="E108" s="62"/>
    </row>
    <row r="109" spans="2:12" x14ac:dyDescent="0.25">
      <c r="D109" s="62"/>
      <c r="E109" s="62"/>
    </row>
    <row r="110" spans="2:12" x14ac:dyDescent="0.25">
      <c r="D110" s="62"/>
      <c r="E110" s="62"/>
    </row>
    <row r="115" spans="5:5" x14ac:dyDescent="0.25">
      <c r="E115" s="62"/>
    </row>
  </sheetData>
  <conditionalFormatting sqref="K106">
    <cfRule type="cellIs" dxfId="27" priority="1" operator="lessThan">
      <formula>0.1</formula>
    </cfRule>
    <cfRule type="cellIs" dxfId="26" priority="2" operator="greaterThan">
      <formula>0.1</formula>
    </cfRule>
  </conditionalFormatting>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0000"/>
  </sheetPr>
  <dimension ref="A1:Q115"/>
  <sheetViews>
    <sheetView topLeftCell="A76" workbookViewId="0">
      <selection activeCell="A25" sqref="A25"/>
    </sheetView>
  </sheetViews>
  <sheetFormatPr defaultColWidth="9.140625" defaultRowHeight="15" x14ac:dyDescent="0.25"/>
  <cols>
    <col min="1" max="2" width="9.140625" style="53"/>
    <col min="3" max="3" width="9.42578125" style="53" bestFit="1" customWidth="1"/>
    <col min="4" max="5" width="10" style="53" bestFit="1" customWidth="1"/>
    <col min="6" max="6" width="9.42578125" style="53" bestFit="1" customWidth="1"/>
    <col min="7" max="7" width="10" style="53" bestFit="1" customWidth="1"/>
    <col min="8" max="9" width="9.140625" style="53"/>
    <col min="10" max="10" width="20" style="53" customWidth="1"/>
    <col min="11" max="14" width="9.42578125" style="53" bestFit="1" customWidth="1"/>
    <col min="15" max="16384" width="9.140625" style="53"/>
  </cols>
  <sheetData>
    <row r="1" spans="1:15" x14ac:dyDescent="0.25">
      <c r="A1" s="53" t="s">
        <v>86</v>
      </c>
      <c r="F1" s="60"/>
      <c r="G1" s="60"/>
      <c r="H1" s="60"/>
      <c r="I1" s="60"/>
      <c r="J1" s="60"/>
      <c r="K1" s="60"/>
      <c r="L1" s="60"/>
      <c r="M1" s="60"/>
      <c r="N1" s="60"/>
      <c r="O1" s="60"/>
    </row>
    <row r="2" spans="1:15" ht="15.75" x14ac:dyDescent="0.25">
      <c r="A2" s="54" t="s">
        <v>87</v>
      </c>
      <c r="F2" s="60"/>
      <c r="G2" s="60"/>
      <c r="H2" s="60"/>
      <c r="I2" s="60"/>
      <c r="J2" s="60"/>
      <c r="K2" s="60"/>
      <c r="L2" s="60"/>
      <c r="M2" s="60"/>
      <c r="N2" s="60"/>
      <c r="O2" s="60"/>
    </row>
    <row r="3" spans="1:15" x14ac:dyDescent="0.25">
      <c r="A3" s="55" t="s">
        <v>88</v>
      </c>
      <c r="F3" s="60"/>
      <c r="G3" s="60"/>
      <c r="H3" s="60"/>
      <c r="I3" s="60"/>
      <c r="J3" s="60"/>
      <c r="K3" s="60"/>
      <c r="L3" s="60"/>
      <c r="M3" s="60"/>
      <c r="N3" s="60"/>
      <c r="O3" s="60"/>
    </row>
    <row r="4" spans="1:15" x14ac:dyDescent="0.25">
      <c r="B4" s="56"/>
      <c r="C4" s="56"/>
      <c r="D4" s="56"/>
      <c r="E4" s="56"/>
      <c r="F4" s="86"/>
      <c r="G4" s="60"/>
      <c r="H4" s="60"/>
      <c r="I4" s="60"/>
      <c r="J4" s="60"/>
      <c r="K4" s="60"/>
      <c r="L4" s="60"/>
      <c r="M4" s="60"/>
      <c r="N4" s="60"/>
      <c r="O4" s="60"/>
    </row>
    <row r="5" spans="1:15" x14ac:dyDescent="0.25">
      <c r="A5" s="57" t="s">
        <v>89</v>
      </c>
      <c r="B5" s="55"/>
      <c r="C5" s="55"/>
      <c r="D5" s="55"/>
      <c r="E5" s="55"/>
      <c r="F5" s="87"/>
      <c r="G5" s="87"/>
      <c r="H5" s="87"/>
      <c r="I5" s="60"/>
      <c r="J5" s="60"/>
      <c r="K5" s="60"/>
      <c r="L5" s="60"/>
      <c r="M5" s="60"/>
      <c r="N5" s="60"/>
      <c r="O5" s="60"/>
    </row>
    <row r="6" spans="1:15" x14ac:dyDescent="0.25">
      <c r="F6" s="60"/>
      <c r="G6" s="60"/>
      <c r="H6" s="60"/>
      <c r="I6" s="60"/>
      <c r="J6" s="60"/>
      <c r="K6" s="60"/>
      <c r="L6" s="60"/>
      <c r="M6" s="60"/>
      <c r="N6" s="60"/>
      <c r="O6" s="60"/>
    </row>
    <row r="7" spans="1:15" x14ac:dyDescent="0.25">
      <c r="F7" s="60"/>
      <c r="G7" s="60"/>
      <c r="H7" s="60"/>
      <c r="I7" s="60"/>
      <c r="J7" s="60"/>
      <c r="K7" s="60"/>
      <c r="L7" s="60"/>
      <c r="M7" s="60"/>
      <c r="N7" s="60"/>
      <c r="O7" s="60"/>
    </row>
    <row r="8" spans="1:15" x14ac:dyDescent="0.25">
      <c r="F8" s="60"/>
      <c r="G8" s="60"/>
      <c r="H8" s="60"/>
      <c r="I8" s="60"/>
      <c r="J8" s="60"/>
      <c r="K8" s="60"/>
      <c r="L8" s="60"/>
      <c r="M8" s="60"/>
      <c r="N8" s="60"/>
      <c r="O8" s="60"/>
    </row>
    <row r="9" spans="1:15" x14ac:dyDescent="0.25">
      <c r="F9" s="60"/>
      <c r="G9" s="60"/>
      <c r="H9" s="60"/>
      <c r="I9" s="60"/>
      <c r="J9" s="60"/>
      <c r="K9" s="60"/>
      <c r="L9" s="60"/>
      <c r="M9" s="60"/>
      <c r="N9" s="60"/>
      <c r="O9" s="60"/>
    </row>
    <row r="10" spans="1:15" x14ac:dyDescent="0.25">
      <c r="F10" s="60"/>
      <c r="G10" s="60"/>
      <c r="H10" s="60"/>
      <c r="I10" s="60"/>
      <c r="J10" s="60"/>
      <c r="K10" s="60"/>
      <c r="L10" s="60"/>
      <c r="M10" s="60"/>
      <c r="N10" s="60"/>
      <c r="O10" s="60"/>
    </row>
    <row r="14" spans="1:15" ht="18.75" x14ac:dyDescent="0.3">
      <c r="A14" s="120" t="s">
        <v>90</v>
      </c>
      <c r="B14" s="60"/>
      <c r="C14" s="60"/>
      <c r="D14" s="60"/>
      <c r="E14" s="60"/>
      <c r="F14" s="60"/>
      <c r="G14" s="60"/>
      <c r="H14" s="60"/>
      <c r="I14" s="60"/>
      <c r="J14" s="60"/>
      <c r="K14" s="60"/>
      <c r="L14" s="60"/>
      <c r="M14" s="60"/>
      <c r="N14" s="60"/>
      <c r="O14" s="60"/>
    </row>
    <row r="15" spans="1:15" x14ac:dyDescent="0.25">
      <c r="A15" s="60"/>
      <c r="B15" s="60"/>
      <c r="C15" s="60"/>
      <c r="D15" s="60"/>
      <c r="E15" s="60"/>
      <c r="F15" s="60"/>
      <c r="G15" s="60"/>
      <c r="H15" s="60"/>
      <c r="I15" s="60"/>
      <c r="J15" s="60"/>
      <c r="K15" s="60"/>
      <c r="L15" s="60"/>
      <c r="M15" s="60"/>
      <c r="N15" s="60"/>
      <c r="O15" s="60"/>
    </row>
    <row r="16" spans="1:15" x14ac:dyDescent="0.25">
      <c r="A16" s="60"/>
      <c r="B16" s="94" t="s">
        <v>91</v>
      </c>
      <c r="C16" s="90"/>
      <c r="D16" s="90"/>
      <c r="E16" s="90"/>
      <c r="F16" s="90"/>
      <c r="G16" s="90"/>
      <c r="H16" s="90"/>
      <c r="I16" s="90"/>
      <c r="J16" s="90"/>
      <c r="K16" s="90"/>
      <c r="L16" s="90"/>
      <c r="M16" s="90"/>
      <c r="N16" s="90"/>
      <c r="O16" s="60"/>
    </row>
    <row r="17" spans="1:15" x14ac:dyDescent="0.25">
      <c r="A17" s="60"/>
      <c r="B17" s="94" t="s">
        <v>26</v>
      </c>
      <c r="C17" s="95" t="s">
        <v>92</v>
      </c>
      <c r="D17" s="95" t="s">
        <v>93</v>
      </c>
      <c r="E17" s="95" t="s">
        <v>94</v>
      </c>
      <c r="F17" s="95"/>
      <c r="G17" s="90"/>
      <c r="H17" s="90"/>
      <c r="I17" s="90"/>
      <c r="J17" s="94" t="s">
        <v>8</v>
      </c>
      <c r="K17" s="95" t="s">
        <v>92</v>
      </c>
      <c r="L17" s="95" t="s">
        <v>93</v>
      </c>
      <c r="M17" s="95" t="s">
        <v>94</v>
      </c>
      <c r="N17" s="95"/>
      <c r="O17" s="60"/>
    </row>
    <row r="18" spans="1:15" x14ac:dyDescent="0.25">
      <c r="A18" s="64" t="s">
        <v>95</v>
      </c>
      <c r="B18" s="95" t="s">
        <v>70</v>
      </c>
      <c r="C18" s="95">
        <v>0</v>
      </c>
      <c r="D18" s="95">
        <v>93</v>
      </c>
      <c r="E18" s="95">
        <f>'Forecasted Capacities'!D16*10^(-3)</f>
        <v>210</v>
      </c>
      <c r="F18" s="95"/>
      <c r="G18" s="90"/>
      <c r="H18" s="90"/>
      <c r="I18" s="90"/>
      <c r="J18" s="95" t="s">
        <v>68</v>
      </c>
      <c r="K18" s="95">
        <v>56.8</v>
      </c>
      <c r="L18" s="95">
        <v>0</v>
      </c>
      <c r="M18" s="95">
        <f>'Forecasted Capacities'!D13*10^(-3)</f>
        <v>1E-3</v>
      </c>
      <c r="N18" s="91" t="s">
        <v>200</v>
      </c>
      <c r="O18" s="60"/>
    </row>
    <row r="19" spans="1:15" x14ac:dyDescent="0.25">
      <c r="A19" s="60"/>
      <c r="B19" s="95" t="s">
        <v>73</v>
      </c>
      <c r="C19" s="95">
        <v>56.8</v>
      </c>
      <c r="D19" s="95">
        <v>93</v>
      </c>
      <c r="E19" s="95">
        <f>'Forecasted Capacities'!D18*10^(-3)</f>
        <v>785.00000000000034</v>
      </c>
      <c r="F19" s="95"/>
      <c r="G19" s="90"/>
      <c r="H19" s="90"/>
      <c r="I19" s="90"/>
      <c r="J19" s="95" t="s">
        <v>66</v>
      </c>
      <c r="K19" s="95">
        <v>275.39999999999998</v>
      </c>
      <c r="L19" s="95">
        <v>93</v>
      </c>
      <c r="M19" s="95">
        <f>'Forecasted Capacities'!D12*10^(-3)</f>
        <v>1E-3</v>
      </c>
      <c r="N19" s="95"/>
      <c r="O19" s="60"/>
    </row>
    <row r="20" spans="1:15" x14ac:dyDescent="0.25">
      <c r="A20" s="60"/>
      <c r="B20" s="95" t="s">
        <v>68</v>
      </c>
      <c r="C20" s="95">
        <v>56.8</v>
      </c>
      <c r="D20" s="95">
        <v>0</v>
      </c>
      <c r="E20" s="95">
        <f>'Forecasted Capacities'!D17*10^(-3)</f>
        <v>3516.078125</v>
      </c>
      <c r="F20" s="95"/>
      <c r="G20" s="90"/>
      <c r="H20" s="90"/>
      <c r="I20" s="90"/>
      <c r="J20" s="95" t="s">
        <v>64</v>
      </c>
      <c r="K20" s="95">
        <v>190</v>
      </c>
      <c r="L20" s="95">
        <v>93</v>
      </c>
      <c r="M20" s="95">
        <f>'Forecasted Capacities'!D11*10^(-3)</f>
        <v>3700</v>
      </c>
      <c r="N20" s="95"/>
      <c r="O20" s="60"/>
    </row>
    <row r="21" spans="1:15" x14ac:dyDescent="0.25">
      <c r="A21" s="60"/>
      <c r="B21" s="95" t="s">
        <v>96</v>
      </c>
      <c r="C21" s="95">
        <v>97.8</v>
      </c>
      <c r="D21" s="95">
        <v>93</v>
      </c>
      <c r="E21" s="95">
        <f>'Forecasted Capacities'!D22*10^(-3)</f>
        <v>7000</v>
      </c>
      <c r="F21" s="95"/>
      <c r="G21" s="90"/>
      <c r="H21" s="90"/>
      <c r="I21" s="90"/>
      <c r="J21" s="95" t="s">
        <v>96</v>
      </c>
      <c r="K21" s="95">
        <v>97.8</v>
      </c>
      <c r="L21" s="95">
        <v>93</v>
      </c>
      <c r="M21" s="95">
        <f>'Forecasted Capacities'!D21*10^(-3)</f>
        <v>4000</v>
      </c>
      <c r="N21" s="95"/>
      <c r="O21" s="60"/>
    </row>
    <row r="22" spans="1:15" x14ac:dyDescent="0.25">
      <c r="A22" s="60"/>
      <c r="B22" s="90"/>
      <c r="C22" s="90"/>
      <c r="D22" s="90"/>
      <c r="E22" s="112">
        <f>SUM(E18:E21)</f>
        <v>11511.078125</v>
      </c>
      <c r="F22" s="90"/>
      <c r="G22" s="90"/>
      <c r="H22" s="90"/>
      <c r="I22" s="90"/>
      <c r="J22" s="90"/>
      <c r="K22" s="90"/>
      <c r="L22" s="90"/>
      <c r="M22" s="112">
        <f>SUM(M18:M21)</f>
        <v>7700.0020000000004</v>
      </c>
      <c r="N22" s="90"/>
      <c r="O22" s="60"/>
    </row>
    <row r="23" spans="1:15" x14ac:dyDescent="0.25">
      <c r="A23" s="60"/>
      <c r="B23" s="90"/>
      <c r="C23" s="90"/>
      <c r="D23" s="90"/>
      <c r="E23" s="90"/>
      <c r="F23" s="90"/>
      <c r="G23" s="90"/>
      <c r="H23" s="90"/>
      <c r="I23" s="90"/>
      <c r="J23" s="90"/>
      <c r="K23" s="90"/>
      <c r="L23" s="90"/>
      <c r="M23" s="90"/>
      <c r="N23" s="90"/>
      <c r="O23" s="60"/>
    </row>
    <row r="24" spans="1:15" x14ac:dyDescent="0.25">
      <c r="A24" s="60"/>
      <c r="B24" s="94" t="s">
        <v>97</v>
      </c>
      <c r="C24" s="90"/>
      <c r="D24" s="90"/>
      <c r="E24" s="90"/>
      <c r="F24" s="90"/>
      <c r="G24" s="90"/>
      <c r="H24" s="90"/>
      <c r="I24" s="90"/>
      <c r="J24" s="90"/>
      <c r="K24" s="90"/>
      <c r="L24" s="90"/>
      <c r="M24" s="90"/>
      <c r="N24" s="90"/>
      <c r="O24" s="60"/>
    </row>
    <row r="25" spans="1:15" ht="15.75" x14ac:dyDescent="0.25">
      <c r="A25" s="60"/>
      <c r="B25" s="219"/>
      <c r="C25" s="95" t="s">
        <v>98</v>
      </c>
      <c r="D25" s="90"/>
      <c r="E25" s="95">
        <f>'15. Current tariff method 22'!B13+'15. Current tariff method 22'!B14</f>
        <v>435.52107643690204</v>
      </c>
      <c r="F25" s="90"/>
      <c r="G25" s="90"/>
      <c r="H25" s="90"/>
      <c r="I25" s="90"/>
      <c r="J25" s="90"/>
      <c r="K25" s="90"/>
      <c r="L25" s="90"/>
      <c r="M25" s="90"/>
      <c r="N25" s="90"/>
      <c r="O25" s="60"/>
    </row>
    <row r="26" spans="1:15" x14ac:dyDescent="0.25">
      <c r="A26" s="64" t="s">
        <v>99</v>
      </c>
      <c r="B26" s="90"/>
      <c r="C26" s="95" t="s">
        <v>100</v>
      </c>
      <c r="D26" s="90"/>
      <c r="E26" s="95">
        <f>'15. Current tariff method 22'!B14</f>
        <v>304.8647535058314</v>
      </c>
      <c r="F26" s="90"/>
      <c r="G26" s="90"/>
      <c r="H26" s="90"/>
      <c r="I26" s="90"/>
      <c r="J26" s="90"/>
      <c r="K26" s="90"/>
      <c r="L26" s="90"/>
      <c r="M26" s="90"/>
      <c r="N26" s="90"/>
      <c r="O26" s="60"/>
    </row>
    <row r="27" spans="1:15" x14ac:dyDescent="0.25">
      <c r="A27" s="64" t="s">
        <v>101</v>
      </c>
      <c r="B27" s="90"/>
      <c r="C27" s="95" t="s">
        <v>102</v>
      </c>
      <c r="D27" s="95"/>
      <c r="E27" s="95">
        <v>0.5</v>
      </c>
      <c r="F27" s="90"/>
      <c r="G27" s="90"/>
      <c r="H27" s="90"/>
      <c r="I27" s="90"/>
      <c r="J27" s="90"/>
      <c r="K27" s="90"/>
      <c r="L27" s="90"/>
      <c r="M27" s="90"/>
      <c r="N27" s="90"/>
      <c r="O27" s="60"/>
    </row>
    <row r="28" spans="1:15" x14ac:dyDescent="0.25">
      <c r="A28" s="64" t="s">
        <v>101</v>
      </c>
      <c r="B28" s="90"/>
      <c r="C28" s="95" t="s">
        <v>103</v>
      </c>
      <c r="D28" s="95"/>
      <c r="E28" s="95">
        <f>E26*E27</f>
        <v>152.4323767529157</v>
      </c>
      <c r="F28" s="90"/>
      <c r="G28" s="90"/>
      <c r="H28" s="90"/>
      <c r="I28" s="90"/>
      <c r="J28" s="90"/>
      <c r="K28" s="90"/>
      <c r="L28" s="90"/>
      <c r="M28" s="90"/>
      <c r="N28" s="90"/>
      <c r="O28" s="60"/>
    </row>
    <row r="29" spans="1:15" x14ac:dyDescent="0.25">
      <c r="A29" s="60"/>
      <c r="B29" s="90"/>
      <c r="C29" s="95" t="s">
        <v>104</v>
      </c>
      <c r="D29" s="95"/>
      <c r="E29" s="95">
        <f>E26*(1-E27)</f>
        <v>152.4323767529157</v>
      </c>
      <c r="F29" s="90"/>
      <c r="G29" s="90"/>
      <c r="H29" s="90"/>
      <c r="I29" s="90"/>
      <c r="J29" s="90"/>
      <c r="K29" s="90"/>
      <c r="L29" s="90"/>
      <c r="M29" s="90"/>
      <c r="N29" s="90"/>
      <c r="O29" s="60"/>
    </row>
    <row r="30" spans="1:15" x14ac:dyDescent="0.25">
      <c r="A30" s="60"/>
      <c r="B30" s="90"/>
      <c r="C30" s="95" t="s">
        <v>105</v>
      </c>
      <c r="D30" s="90"/>
      <c r="E30" s="95">
        <f>'15. Current tariff method 22'!B13</f>
        <v>130.65632293107063</v>
      </c>
      <c r="F30" s="90"/>
      <c r="G30" s="90"/>
      <c r="H30" s="90"/>
      <c r="I30" s="90"/>
      <c r="J30" s="90"/>
      <c r="K30" s="90"/>
      <c r="L30" s="90"/>
      <c r="M30" s="90"/>
      <c r="N30" s="90"/>
      <c r="O30" s="60"/>
    </row>
    <row r="31" spans="1:15" x14ac:dyDescent="0.25">
      <c r="A31" s="60"/>
      <c r="B31" s="60"/>
      <c r="C31" s="60"/>
      <c r="D31" s="60"/>
      <c r="E31" s="60"/>
      <c r="F31" s="60"/>
      <c r="G31" s="60"/>
      <c r="H31" s="60"/>
      <c r="I31" s="60"/>
      <c r="J31" s="60"/>
      <c r="K31" s="60"/>
      <c r="L31" s="60"/>
      <c r="M31" s="60"/>
      <c r="N31" s="60"/>
      <c r="O31" s="60"/>
    </row>
    <row r="32" spans="1:15" x14ac:dyDescent="0.25">
      <c r="A32" s="60"/>
      <c r="B32" s="60"/>
      <c r="C32" s="60"/>
      <c r="D32" s="60"/>
      <c r="E32" s="60"/>
      <c r="F32" s="60"/>
      <c r="G32" s="60"/>
      <c r="H32" s="60"/>
      <c r="I32" s="60"/>
      <c r="J32" s="60"/>
      <c r="K32" s="121"/>
      <c r="L32" s="121"/>
      <c r="M32" s="60"/>
      <c r="N32" s="60"/>
      <c r="O32" s="60"/>
    </row>
    <row r="33" spans="1:15" x14ac:dyDescent="0.25">
      <c r="A33" s="60"/>
      <c r="B33" s="93" t="s">
        <v>106</v>
      </c>
      <c r="C33" s="60"/>
      <c r="D33" s="60"/>
      <c r="E33" s="60"/>
      <c r="F33" s="60"/>
      <c r="G33" s="60"/>
      <c r="H33" s="60"/>
      <c r="I33" s="60"/>
      <c r="J33" s="93" t="s">
        <v>107</v>
      </c>
      <c r="K33" s="60"/>
      <c r="L33" s="60"/>
      <c r="M33" s="60"/>
      <c r="N33" s="60"/>
      <c r="O33" s="60"/>
    </row>
    <row r="34" spans="1:15" x14ac:dyDescent="0.25">
      <c r="A34" s="60"/>
      <c r="B34" s="59" t="s">
        <v>108</v>
      </c>
      <c r="C34" s="59" t="s">
        <v>8</v>
      </c>
      <c r="D34" s="60"/>
      <c r="E34" s="60"/>
      <c r="F34" s="60"/>
      <c r="G34" s="60"/>
      <c r="H34" s="60"/>
      <c r="I34" s="60"/>
      <c r="J34" s="59" t="s">
        <v>109</v>
      </c>
      <c r="K34" s="61" t="s">
        <v>26</v>
      </c>
      <c r="L34" s="60"/>
      <c r="M34" s="60"/>
      <c r="N34" s="60"/>
      <c r="O34" s="60"/>
    </row>
    <row r="35" spans="1:15" x14ac:dyDescent="0.25">
      <c r="A35" s="60"/>
      <c r="B35" s="59" t="s">
        <v>26</v>
      </c>
      <c r="C35" s="61" t="s">
        <v>68</v>
      </c>
      <c r="D35" s="61" t="s">
        <v>66</v>
      </c>
      <c r="E35" s="61" t="s">
        <v>64</v>
      </c>
      <c r="F35" s="61" t="s">
        <v>96</v>
      </c>
      <c r="G35" s="60"/>
      <c r="H35" s="60"/>
      <c r="I35" s="60"/>
      <c r="J35" s="61" t="s">
        <v>8</v>
      </c>
      <c r="K35" s="61" t="s">
        <v>70</v>
      </c>
      <c r="L35" s="61" t="s">
        <v>73</v>
      </c>
      <c r="M35" s="61" t="s">
        <v>68</v>
      </c>
      <c r="N35" s="61" t="s">
        <v>96</v>
      </c>
      <c r="O35" s="60"/>
    </row>
    <row r="36" spans="1:15" x14ac:dyDescent="0.25">
      <c r="A36" s="60"/>
      <c r="B36" s="61" t="s">
        <v>70</v>
      </c>
      <c r="C36" s="61">
        <f>ABS(C20-C18)+ABS(D18-D20)</f>
        <v>149.80000000000001</v>
      </c>
      <c r="D36" s="61">
        <f>ABS(K19-C18)+ABS(L19-D18)</f>
        <v>275.39999999999998</v>
      </c>
      <c r="E36" s="61">
        <f>ABS(K20-C18)+ABS(L20-D18)</f>
        <v>190</v>
      </c>
      <c r="F36" s="61">
        <f>ABS(K21-C18)+ABS(L21-D18)</f>
        <v>97.8</v>
      </c>
      <c r="G36" s="60"/>
      <c r="H36" s="60"/>
      <c r="I36" s="60"/>
      <c r="J36" s="61" t="s">
        <v>68</v>
      </c>
      <c r="K36" s="61">
        <f t="shared" ref="K36:L39" si="0">$M18</f>
        <v>1E-3</v>
      </c>
      <c r="L36" s="61">
        <f t="shared" si="0"/>
        <v>1E-3</v>
      </c>
      <c r="M36" s="61">
        <v>0</v>
      </c>
      <c r="N36" s="61">
        <f>$M18</f>
        <v>1E-3</v>
      </c>
      <c r="O36" s="60"/>
    </row>
    <row r="37" spans="1:15" x14ac:dyDescent="0.25">
      <c r="A37" s="60"/>
      <c r="B37" s="61" t="s">
        <v>73</v>
      </c>
      <c r="C37" s="61">
        <f>ABS(C19-C20)+ABS(D19-D20)</f>
        <v>93</v>
      </c>
      <c r="D37" s="61">
        <f>ABS(K19-C19)+ABS(L19-D19)</f>
        <v>218.59999999999997</v>
      </c>
      <c r="E37" s="61">
        <f>ABS(K20-C19)+ABS(L20-D19)</f>
        <v>133.19999999999999</v>
      </c>
      <c r="F37" s="61">
        <f>ABS(K21-C19)+ABS(L21-D19)</f>
        <v>41</v>
      </c>
      <c r="G37" s="60"/>
      <c r="H37" s="60"/>
      <c r="I37" s="60"/>
      <c r="J37" s="61" t="s">
        <v>66</v>
      </c>
      <c r="K37" s="61">
        <f t="shared" si="0"/>
        <v>1E-3</v>
      </c>
      <c r="L37" s="61">
        <f t="shared" si="0"/>
        <v>1E-3</v>
      </c>
      <c r="M37" s="61">
        <f>$M19</f>
        <v>1E-3</v>
      </c>
      <c r="N37" s="61">
        <f>$M19</f>
        <v>1E-3</v>
      </c>
      <c r="O37" s="60"/>
    </row>
    <row r="38" spans="1:15" x14ac:dyDescent="0.25">
      <c r="A38" s="60"/>
      <c r="B38" s="61" t="s">
        <v>68</v>
      </c>
      <c r="C38" s="61">
        <v>0</v>
      </c>
      <c r="D38" s="61">
        <f>ABS(K19-K18)+ABS(L19-L18)</f>
        <v>311.59999999999997</v>
      </c>
      <c r="E38" s="61">
        <f>ABS(K20-K18)+ABS(L20-L18)</f>
        <v>226.2</v>
      </c>
      <c r="F38" s="61">
        <f>ABS(K21-K18)+ABS(L21-L18)</f>
        <v>134</v>
      </c>
      <c r="G38" s="60"/>
      <c r="H38" s="60"/>
      <c r="I38" s="60"/>
      <c r="J38" s="61" t="s">
        <v>64</v>
      </c>
      <c r="K38" s="61">
        <f t="shared" si="0"/>
        <v>3700</v>
      </c>
      <c r="L38" s="61">
        <f t="shared" si="0"/>
        <v>3700</v>
      </c>
      <c r="M38" s="61">
        <f>$M20</f>
        <v>3700</v>
      </c>
      <c r="N38" s="61">
        <f>$M20</f>
        <v>3700</v>
      </c>
      <c r="O38" s="60"/>
    </row>
    <row r="39" spans="1:15" x14ac:dyDescent="0.25">
      <c r="A39" s="60"/>
      <c r="B39" s="61" t="s">
        <v>96</v>
      </c>
      <c r="C39" s="61">
        <f>ABS(C21-C20)+ABS(D21-D20)</f>
        <v>134</v>
      </c>
      <c r="D39" s="61">
        <f>ABS(K19-K21)+ABS(L19-L21)</f>
        <v>177.59999999999997</v>
      </c>
      <c r="E39" s="61">
        <f>ABS(K20-K21)+ABS(L20-L21)</f>
        <v>92.2</v>
      </c>
      <c r="F39" s="61">
        <v>0</v>
      </c>
      <c r="G39" s="60"/>
      <c r="H39" s="60"/>
      <c r="I39" s="60"/>
      <c r="J39" s="61" t="s">
        <v>96</v>
      </c>
      <c r="K39" s="61">
        <f t="shared" si="0"/>
        <v>4000</v>
      </c>
      <c r="L39" s="61">
        <f t="shared" si="0"/>
        <v>4000</v>
      </c>
      <c r="M39" s="61">
        <f>$M21</f>
        <v>4000</v>
      </c>
      <c r="N39" s="61">
        <v>0</v>
      </c>
      <c r="O39" s="60"/>
    </row>
    <row r="40" spans="1:15" x14ac:dyDescent="0.25">
      <c r="A40" s="60"/>
      <c r="B40" s="60"/>
      <c r="C40" s="60"/>
      <c r="D40" s="60"/>
      <c r="E40" s="60"/>
      <c r="F40" s="60"/>
      <c r="G40" s="60"/>
      <c r="H40" s="60"/>
      <c r="I40" s="60"/>
      <c r="J40" s="61"/>
      <c r="K40" s="61"/>
      <c r="L40" s="61"/>
      <c r="M40" s="61"/>
      <c r="N40" s="61"/>
      <c r="O40" s="60"/>
    </row>
    <row r="41" spans="1:15" x14ac:dyDescent="0.25">
      <c r="A41" s="60"/>
      <c r="B41" s="60"/>
      <c r="C41" s="60"/>
      <c r="D41" s="60"/>
      <c r="E41" s="60"/>
      <c r="F41" s="60"/>
      <c r="G41" s="60"/>
      <c r="H41" s="60"/>
      <c r="I41" s="60"/>
      <c r="J41" s="122" t="s">
        <v>14</v>
      </c>
      <c r="K41" s="122">
        <f>SUM(K36:K39)</f>
        <v>7700.0020000000004</v>
      </c>
      <c r="L41" s="122">
        <f t="shared" ref="L41:N41" si="1">SUM(L36:L39)</f>
        <v>7700.0020000000004</v>
      </c>
      <c r="M41" s="122">
        <f t="shared" si="1"/>
        <v>7700.0010000000002</v>
      </c>
      <c r="N41" s="122">
        <f t="shared" si="1"/>
        <v>3700.002</v>
      </c>
      <c r="O41" s="60"/>
    </row>
    <row r="42" spans="1:15" x14ac:dyDescent="0.25">
      <c r="A42" s="60"/>
      <c r="B42" s="60"/>
      <c r="C42" s="60"/>
      <c r="D42" s="60"/>
      <c r="E42" s="60"/>
      <c r="F42" s="60"/>
      <c r="G42" s="60"/>
      <c r="H42" s="60"/>
      <c r="I42" s="60"/>
      <c r="J42" s="60"/>
      <c r="K42" s="60"/>
      <c r="L42" s="60"/>
      <c r="M42" s="60"/>
      <c r="N42" s="60"/>
    </row>
    <row r="43" spans="1:15" x14ac:dyDescent="0.25">
      <c r="A43" s="60"/>
      <c r="B43" s="93" t="s">
        <v>110</v>
      </c>
      <c r="C43" s="93"/>
      <c r="D43" s="93"/>
      <c r="E43" s="93" t="s">
        <v>111</v>
      </c>
      <c r="F43" s="93"/>
      <c r="G43" s="93"/>
      <c r="H43" s="93"/>
      <c r="I43" s="93"/>
      <c r="J43" s="93" t="s">
        <v>193</v>
      </c>
      <c r="K43" s="93"/>
      <c r="L43" s="60"/>
      <c r="M43" s="60"/>
      <c r="N43" s="60"/>
    </row>
    <row r="44" spans="1:15" x14ac:dyDescent="0.25">
      <c r="A44" s="64" t="s">
        <v>114</v>
      </c>
      <c r="B44" s="61"/>
      <c r="C44" s="59" t="s">
        <v>115</v>
      </c>
      <c r="D44" s="59"/>
      <c r="E44" s="59" t="s">
        <v>116</v>
      </c>
      <c r="F44" s="61"/>
      <c r="G44" s="61"/>
      <c r="H44" s="59"/>
      <c r="I44" s="61"/>
      <c r="J44" s="59" t="s">
        <v>118</v>
      </c>
      <c r="K44" s="59" t="s">
        <v>8</v>
      </c>
      <c r="L44" s="60"/>
      <c r="M44" s="60"/>
      <c r="N44" s="60"/>
    </row>
    <row r="45" spans="1:15" x14ac:dyDescent="0.25">
      <c r="A45" s="60"/>
      <c r="B45" s="61" t="s">
        <v>70</v>
      </c>
      <c r="C45" s="61">
        <f>MMULT(C36:F36,K36:K39)/K41</f>
        <v>142.10391441456767</v>
      </c>
      <c r="D45" s="61"/>
      <c r="E45" s="61">
        <f>SUMPRODUCT(C45:C48,E18:E21)</f>
        <v>1369136.125051657</v>
      </c>
      <c r="F45" s="61"/>
      <c r="G45" s="61"/>
      <c r="H45" s="61"/>
      <c r="I45" s="61"/>
      <c r="J45" s="59" t="s">
        <v>26</v>
      </c>
      <c r="K45" s="61" t="s">
        <v>68</v>
      </c>
      <c r="L45" s="61" t="s">
        <v>66</v>
      </c>
      <c r="M45" s="61" t="s">
        <v>64</v>
      </c>
      <c r="N45" s="61" t="s">
        <v>96</v>
      </c>
    </row>
    <row r="46" spans="1:15" x14ac:dyDescent="0.25">
      <c r="A46" s="60"/>
      <c r="B46" s="61" t="s">
        <v>73</v>
      </c>
      <c r="C46" s="61">
        <f>MMULT(C37:F37,L36:L39)/L41</f>
        <v>85.303914414567672</v>
      </c>
      <c r="D46" s="61"/>
      <c r="E46" s="61"/>
      <c r="F46" s="61"/>
      <c r="G46" s="61"/>
      <c r="H46" s="61"/>
      <c r="I46" s="61"/>
      <c r="J46" s="61" t="s">
        <v>70</v>
      </c>
      <c r="K46" s="61">
        <f t="shared" ref="K46:N47" si="2">$E18</f>
        <v>210</v>
      </c>
      <c r="L46" s="61">
        <f t="shared" si="2"/>
        <v>210</v>
      </c>
      <c r="M46" s="61">
        <f t="shared" si="2"/>
        <v>210</v>
      </c>
      <c r="N46" s="61">
        <f t="shared" si="2"/>
        <v>210</v>
      </c>
    </row>
    <row r="47" spans="1:15" x14ac:dyDescent="0.25">
      <c r="A47" s="60"/>
      <c r="B47" s="61" t="s">
        <v>68</v>
      </c>
      <c r="C47" s="61">
        <f>MMULT(C38:F38,M36:M39)/M41</f>
        <v>178.30391341507618</v>
      </c>
      <c r="D47" s="61"/>
      <c r="E47" s="61"/>
      <c r="F47" s="61"/>
      <c r="G47" s="61"/>
      <c r="H47" s="61"/>
      <c r="I47" s="61"/>
      <c r="J47" s="61" t="s">
        <v>73</v>
      </c>
      <c r="K47" s="61">
        <f t="shared" si="2"/>
        <v>785.00000000000034</v>
      </c>
      <c r="L47" s="61">
        <f t="shared" si="2"/>
        <v>785.00000000000034</v>
      </c>
      <c r="M47" s="61">
        <f t="shared" si="2"/>
        <v>785.00000000000034</v>
      </c>
      <c r="N47" s="61">
        <f t="shared" si="2"/>
        <v>785.00000000000034</v>
      </c>
    </row>
    <row r="48" spans="1:15" x14ac:dyDescent="0.25">
      <c r="A48" s="60"/>
      <c r="B48" s="61" t="s">
        <v>96</v>
      </c>
      <c r="C48" s="61">
        <f>MMULT(C39:F39,N36:N39)/N41</f>
        <v>92.200034378359803</v>
      </c>
      <c r="D48" s="61"/>
      <c r="E48" s="61"/>
      <c r="F48" s="61"/>
      <c r="G48" s="61"/>
      <c r="H48" s="61"/>
      <c r="I48" s="61"/>
      <c r="J48" s="61" t="s">
        <v>68</v>
      </c>
      <c r="K48" s="61">
        <f>$J74</f>
        <v>0</v>
      </c>
      <c r="L48" s="61">
        <f>$E20</f>
        <v>3516.078125</v>
      </c>
      <c r="M48" s="61">
        <f>$E20</f>
        <v>3516.078125</v>
      </c>
      <c r="N48" s="61">
        <f>$E20</f>
        <v>3516.078125</v>
      </c>
    </row>
    <row r="49" spans="1:17" x14ac:dyDescent="0.25">
      <c r="A49" s="60"/>
      <c r="B49" s="60"/>
      <c r="C49" s="60"/>
      <c r="D49" s="60"/>
      <c r="E49" s="60"/>
      <c r="F49" s="60"/>
      <c r="G49" s="60"/>
      <c r="H49" s="60"/>
      <c r="I49" s="60"/>
      <c r="J49" s="61" t="s">
        <v>96</v>
      </c>
      <c r="K49" s="61">
        <f>$E21</f>
        <v>7000</v>
      </c>
      <c r="L49" s="61">
        <f>$E21</f>
        <v>7000</v>
      </c>
      <c r="M49" s="61">
        <f>$E21</f>
        <v>7000</v>
      </c>
      <c r="N49" s="61">
        <v>0</v>
      </c>
    </row>
    <row r="50" spans="1:17" x14ac:dyDescent="0.25">
      <c r="A50" s="60"/>
      <c r="B50" s="60"/>
      <c r="C50" s="60"/>
      <c r="D50" s="60"/>
      <c r="E50" s="60"/>
      <c r="F50" s="60"/>
      <c r="G50" s="60"/>
      <c r="H50" s="60"/>
      <c r="I50" s="60"/>
      <c r="J50" s="61"/>
      <c r="K50" s="61"/>
      <c r="L50" s="61"/>
      <c r="M50" s="61"/>
      <c r="N50" s="61"/>
      <c r="P50" s="60"/>
      <c r="Q50" s="60"/>
    </row>
    <row r="51" spans="1:17" x14ac:dyDescent="0.25">
      <c r="A51" s="60"/>
      <c r="B51" s="60"/>
      <c r="C51" s="60"/>
      <c r="D51" s="60"/>
      <c r="E51" s="60"/>
      <c r="F51" s="60"/>
      <c r="G51" s="60"/>
      <c r="H51" s="60"/>
      <c r="I51" s="60"/>
      <c r="J51" s="122" t="s">
        <v>14</v>
      </c>
      <c r="K51" s="122">
        <f>SUM(K46:K49)</f>
        <v>7995</v>
      </c>
      <c r="L51" s="122">
        <f t="shared" ref="L51:N51" si="3">SUM(L46:L49)</f>
        <v>11511.078125</v>
      </c>
      <c r="M51" s="122">
        <f t="shared" si="3"/>
        <v>11511.078125</v>
      </c>
      <c r="N51" s="122">
        <f t="shared" si="3"/>
        <v>4511.078125</v>
      </c>
      <c r="P51" s="60"/>
      <c r="Q51" s="60"/>
    </row>
    <row r="52" spans="1:17" x14ac:dyDescent="0.25">
      <c r="A52" s="60"/>
      <c r="B52" s="60"/>
      <c r="C52" s="60"/>
      <c r="D52" s="60"/>
      <c r="E52" s="60"/>
      <c r="F52" s="60"/>
      <c r="G52" s="60"/>
      <c r="H52" s="60"/>
      <c r="I52" s="60"/>
      <c r="J52" s="60"/>
      <c r="K52" s="60"/>
      <c r="L52" s="60"/>
      <c r="M52" s="60"/>
      <c r="N52" s="60"/>
      <c r="P52" s="60"/>
      <c r="Q52" s="123"/>
    </row>
    <row r="53" spans="1:17" x14ac:dyDescent="0.25">
      <c r="A53" s="60"/>
      <c r="B53" s="93" t="s">
        <v>194</v>
      </c>
      <c r="C53" s="93"/>
      <c r="D53" s="93"/>
      <c r="E53" s="93" t="s">
        <v>195</v>
      </c>
      <c r="F53" s="93"/>
      <c r="G53" s="93"/>
      <c r="H53" s="93"/>
      <c r="I53" s="93"/>
      <c r="J53" s="124" t="s">
        <v>196</v>
      </c>
      <c r="K53" s="125"/>
      <c r="L53" s="126"/>
      <c r="M53" s="126"/>
      <c r="N53" s="102"/>
      <c r="P53" s="60"/>
      <c r="Q53" s="60"/>
    </row>
    <row r="54" spans="1:17" x14ac:dyDescent="0.25">
      <c r="A54" s="60"/>
      <c r="B54" s="61"/>
      <c r="C54" s="59" t="s">
        <v>122</v>
      </c>
      <c r="D54" s="59"/>
      <c r="E54" s="59" t="s">
        <v>116</v>
      </c>
      <c r="F54" s="59"/>
      <c r="G54" s="59"/>
      <c r="H54" s="59"/>
      <c r="I54" s="60"/>
      <c r="J54" s="113"/>
      <c r="K54" s="38"/>
      <c r="L54" s="38"/>
      <c r="M54" s="38"/>
      <c r="N54" s="39"/>
      <c r="P54" s="60"/>
      <c r="Q54" s="60"/>
    </row>
    <row r="55" spans="1:17" x14ac:dyDescent="0.25">
      <c r="A55" s="60"/>
      <c r="B55" s="61" t="s">
        <v>68</v>
      </c>
      <c r="C55" s="61">
        <f>SUMPRODUCT(K46:K49,C36:C39)/K51</f>
        <v>130.38936835522202</v>
      </c>
      <c r="D55" s="60"/>
      <c r="E55" s="61">
        <f>SUMPRODUCT(C55:C58,M18:M21)</f>
        <v>974055.31259063992</v>
      </c>
      <c r="F55" s="61"/>
      <c r="G55" s="61"/>
      <c r="H55" s="61"/>
      <c r="I55" s="60"/>
      <c r="J55" s="127" t="s">
        <v>135</v>
      </c>
      <c r="K55" s="128" t="s">
        <v>136</v>
      </c>
      <c r="L55" s="38"/>
      <c r="M55" s="38"/>
      <c r="N55" s="39"/>
    </row>
    <row r="56" spans="1:17" x14ac:dyDescent="0.25">
      <c r="A56" s="60"/>
      <c r="B56" s="61" t="s">
        <v>66</v>
      </c>
      <c r="C56" s="61">
        <f>SUMPRODUCT(L46:L49,D36:D39)/L51</f>
        <v>223.11072132958873</v>
      </c>
      <c r="D56" s="60"/>
      <c r="E56" s="61"/>
      <c r="F56" s="61"/>
      <c r="G56" s="61"/>
      <c r="H56" s="61"/>
      <c r="I56" s="60"/>
      <c r="J56" s="129">
        <f>M76</f>
        <v>3.3607899226252909E-2</v>
      </c>
      <c r="K56" s="130">
        <f>J56*E18</f>
        <v>7.0576588375131113</v>
      </c>
      <c r="L56" s="130"/>
      <c r="M56" s="38"/>
      <c r="N56" s="39"/>
    </row>
    <row r="57" spans="1:17" x14ac:dyDescent="0.25">
      <c r="A57" s="60"/>
      <c r="B57" s="61" t="s">
        <v>64</v>
      </c>
      <c r="C57" s="61">
        <f>SUMPRODUCT(M46:M49,E36:E39)/M51</f>
        <v>137.71072132958875</v>
      </c>
      <c r="D57" s="60"/>
      <c r="E57" s="61"/>
      <c r="F57" s="61"/>
      <c r="G57" s="61"/>
      <c r="H57" s="61"/>
      <c r="I57" s="60"/>
      <c r="J57" s="129">
        <f>M76</f>
        <v>3.3607899226252909E-2</v>
      </c>
      <c r="K57" s="130">
        <f>J57*E19</f>
        <v>26.382200892608545</v>
      </c>
      <c r="L57" s="130"/>
      <c r="M57" s="38"/>
      <c r="N57" s="39"/>
    </row>
    <row r="58" spans="1:17" x14ac:dyDescent="0.25">
      <c r="A58" s="60"/>
      <c r="B58" s="61" t="s">
        <v>96</v>
      </c>
      <c r="C58" s="61">
        <f>SUMPRODUCT(N46:N49,F36:F39)/N51</f>
        <v>116.13132254276798</v>
      </c>
      <c r="D58" s="60"/>
      <c r="E58" s="61"/>
      <c r="F58" s="61"/>
      <c r="G58" s="61"/>
      <c r="H58" s="61"/>
      <c r="I58" s="60"/>
      <c r="J58" s="129">
        <f>M75</f>
        <v>3.5592744491488908E-2</v>
      </c>
      <c r="K58" s="130">
        <f>J58*E20</f>
        <v>125.1468703152384</v>
      </c>
      <c r="L58" s="130"/>
      <c r="M58" s="38"/>
      <c r="N58" s="108"/>
    </row>
    <row r="59" spans="1:17" x14ac:dyDescent="0.25">
      <c r="A59" s="60"/>
      <c r="B59" s="60"/>
      <c r="C59" s="60"/>
      <c r="D59" s="60"/>
      <c r="E59" s="60"/>
      <c r="F59" s="60"/>
      <c r="G59" s="60"/>
      <c r="H59" s="60"/>
      <c r="I59" s="60"/>
      <c r="J59" s="129">
        <v>0</v>
      </c>
      <c r="K59" s="130">
        <f>J59*E21</f>
        <v>0</v>
      </c>
      <c r="L59" s="130"/>
      <c r="M59" s="38"/>
      <c r="N59" s="108"/>
    </row>
    <row r="60" spans="1:17" x14ac:dyDescent="0.25">
      <c r="A60" s="60"/>
      <c r="B60" s="93"/>
      <c r="C60" s="93"/>
      <c r="D60" s="93"/>
      <c r="E60" s="93"/>
      <c r="F60" s="93"/>
      <c r="G60" s="93"/>
      <c r="H60" s="60"/>
      <c r="I60" s="60"/>
      <c r="J60" s="129"/>
      <c r="K60" s="130"/>
      <c r="L60" s="130"/>
      <c r="M60" s="38"/>
      <c r="N60" s="108"/>
    </row>
    <row r="61" spans="1:17" x14ac:dyDescent="0.25">
      <c r="A61" s="60"/>
      <c r="B61" s="60"/>
      <c r="C61" s="60"/>
      <c r="D61" s="60"/>
      <c r="E61" s="60"/>
      <c r="F61" s="60"/>
      <c r="G61" s="60"/>
      <c r="H61" s="60"/>
      <c r="I61" s="60"/>
      <c r="J61" s="113"/>
      <c r="K61" s="131">
        <f>SUM(K56:K59)</f>
        <v>158.58673004536007</v>
      </c>
      <c r="L61" s="38"/>
      <c r="M61" s="38"/>
      <c r="N61" s="108"/>
    </row>
    <row r="62" spans="1:17" x14ac:dyDescent="0.25">
      <c r="A62" s="60"/>
      <c r="B62" s="59"/>
      <c r="C62" s="59"/>
      <c r="D62" s="59"/>
      <c r="E62" s="59"/>
      <c r="F62" s="59"/>
      <c r="G62" s="60"/>
      <c r="H62" s="60"/>
      <c r="I62" s="60"/>
      <c r="J62" s="113"/>
      <c r="K62" s="38"/>
      <c r="L62" s="38"/>
      <c r="M62" s="38"/>
      <c r="N62" s="108"/>
    </row>
    <row r="63" spans="1:17" x14ac:dyDescent="0.25">
      <c r="A63" s="60"/>
      <c r="B63" s="61"/>
      <c r="C63" s="61"/>
      <c r="D63" s="61"/>
      <c r="E63" s="61"/>
      <c r="F63" s="61"/>
      <c r="G63" s="61"/>
      <c r="H63" s="60"/>
      <c r="I63" s="60"/>
      <c r="J63" s="113"/>
      <c r="K63" s="38"/>
      <c r="L63" s="38"/>
      <c r="M63" s="38"/>
      <c r="N63" s="108"/>
    </row>
    <row r="64" spans="1:17" x14ac:dyDescent="0.25">
      <c r="A64" s="60"/>
      <c r="B64" s="61"/>
      <c r="C64" s="61"/>
      <c r="D64" s="61"/>
      <c r="E64" s="61"/>
      <c r="F64" s="61"/>
      <c r="G64" s="61"/>
      <c r="H64" s="60"/>
      <c r="I64" s="60"/>
      <c r="J64" s="132" t="s">
        <v>197</v>
      </c>
      <c r="K64" s="68"/>
      <c r="L64" s="38"/>
      <c r="M64" s="38"/>
      <c r="N64" s="108"/>
    </row>
    <row r="65" spans="1:14" x14ac:dyDescent="0.25">
      <c r="A65" s="60"/>
      <c r="B65" s="61"/>
      <c r="C65" s="61"/>
      <c r="D65" s="61"/>
      <c r="E65" s="61"/>
      <c r="F65" s="61"/>
      <c r="G65" s="61"/>
      <c r="H65" s="60"/>
      <c r="I65" s="60"/>
      <c r="J65" s="113"/>
      <c r="K65" s="38"/>
      <c r="L65" s="38"/>
      <c r="M65" s="38"/>
      <c r="N65" s="108"/>
    </row>
    <row r="66" spans="1:14" x14ac:dyDescent="0.25">
      <c r="A66" s="60"/>
      <c r="B66" s="61"/>
      <c r="C66" s="61"/>
      <c r="D66" s="61"/>
      <c r="E66" s="61"/>
      <c r="F66" s="61"/>
      <c r="G66" s="61"/>
      <c r="H66" s="60"/>
      <c r="I66" s="60"/>
      <c r="J66" s="127" t="s">
        <v>149</v>
      </c>
      <c r="K66" s="128" t="s">
        <v>150</v>
      </c>
      <c r="L66" s="38"/>
      <c r="M66" s="38"/>
      <c r="N66" s="108"/>
    </row>
    <row r="67" spans="1:14" x14ac:dyDescent="0.25">
      <c r="A67" s="60"/>
      <c r="B67" s="61"/>
      <c r="C67" s="61"/>
      <c r="D67" s="61"/>
      <c r="E67" s="61"/>
      <c r="F67" s="61"/>
      <c r="G67" s="61"/>
      <c r="H67" s="60"/>
      <c r="I67" s="60"/>
      <c r="J67" s="129">
        <f>M77</f>
        <v>3.3607899226252909E-2</v>
      </c>
      <c r="K67" s="130">
        <f>J67*M18</f>
        <v>3.3607899226252906E-5</v>
      </c>
      <c r="L67" s="130"/>
      <c r="M67" s="38"/>
      <c r="N67" s="108"/>
    </row>
    <row r="68" spans="1:14" x14ac:dyDescent="0.25">
      <c r="A68" s="60"/>
      <c r="B68" s="60"/>
      <c r="C68" s="60"/>
      <c r="D68" s="60"/>
      <c r="E68" s="65"/>
      <c r="F68" s="60"/>
      <c r="G68" s="60"/>
      <c r="H68" s="60"/>
      <c r="I68" s="60"/>
      <c r="J68" s="129">
        <f>M78</f>
        <v>3.9534581167024567E-2</v>
      </c>
      <c r="K68" s="130">
        <f>J68*M19</f>
        <v>3.9534581167024571E-5</v>
      </c>
      <c r="L68" s="130"/>
      <c r="M68" s="38"/>
      <c r="N68" s="108"/>
    </row>
    <row r="69" spans="1:14" x14ac:dyDescent="0.25">
      <c r="A69" s="60"/>
      <c r="B69" s="60"/>
      <c r="C69" s="60"/>
      <c r="D69" s="60"/>
      <c r="E69" s="60"/>
      <c r="F69" s="60"/>
      <c r="G69" s="60"/>
      <c r="H69" s="60"/>
      <c r="I69" s="60"/>
      <c r="J69" s="129">
        <f>M78</f>
        <v>3.9534581167024567E-2</v>
      </c>
      <c r="K69" s="130">
        <f>J69*M20</f>
        <v>146.2779503179909</v>
      </c>
      <c r="L69" s="130"/>
      <c r="M69" s="38"/>
      <c r="N69" s="108"/>
    </row>
    <row r="70" spans="1:14" x14ac:dyDescent="0.25">
      <c r="A70" s="60"/>
      <c r="B70" s="60"/>
      <c r="C70" s="60"/>
      <c r="D70" s="60"/>
      <c r="E70" s="60"/>
      <c r="F70" s="60"/>
      <c r="G70" s="60"/>
      <c r="H70" s="60"/>
      <c r="I70" s="60"/>
      <c r="J70" s="129">
        <v>0</v>
      </c>
      <c r="K70" s="130">
        <f>J70*M21</f>
        <v>0</v>
      </c>
      <c r="L70" s="130"/>
      <c r="M70" s="38"/>
      <c r="N70" s="108"/>
    </row>
    <row r="71" spans="1:14" x14ac:dyDescent="0.25">
      <c r="A71" s="60"/>
      <c r="B71" s="93"/>
      <c r="C71" s="93"/>
      <c r="D71" s="93"/>
      <c r="E71" s="93"/>
      <c r="F71" s="93"/>
      <c r="G71" s="93"/>
      <c r="H71" s="60"/>
      <c r="I71" s="60"/>
      <c r="J71" s="129"/>
      <c r="K71" s="130"/>
      <c r="L71" s="130"/>
      <c r="M71" s="38"/>
      <c r="N71" s="108"/>
    </row>
    <row r="72" spans="1:14" x14ac:dyDescent="0.25">
      <c r="A72" s="60"/>
      <c r="B72" s="60"/>
      <c r="C72" s="60"/>
      <c r="D72" s="60"/>
      <c r="E72" s="60"/>
      <c r="F72" s="60"/>
      <c r="G72" s="60"/>
      <c r="H72" s="60"/>
      <c r="I72" s="60"/>
      <c r="J72" s="113"/>
      <c r="K72" s="131">
        <f>SUM(K67:K70)</f>
        <v>146.2780234604713</v>
      </c>
      <c r="L72" s="38"/>
      <c r="M72" s="38"/>
      <c r="N72" s="108"/>
    </row>
    <row r="73" spans="1:14" x14ac:dyDescent="0.25">
      <c r="A73" s="60"/>
      <c r="B73" s="59"/>
      <c r="C73" s="59"/>
      <c r="D73" s="59"/>
      <c r="E73" s="59"/>
      <c r="F73" s="59"/>
      <c r="G73" s="60"/>
      <c r="H73" s="60"/>
      <c r="I73" s="60"/>
      <c r="J73" s="113"/>
      <c r="K73" s="38"/>
      <c r="L73" s="38"/>
      <c r="M73" s="88"/>
      <c r="N73" s="108"/>
    </row>
    <row r="74" spans="1:14" x14ac:dyDescent="0.25">
      <c r="A74" s="60"/>
      <c r="B74" s="61"/>
      <c r="C74" s="61"/>
      <c r="D74" s="61"/>
      <c r="E74" s="61"/>
      <c r="F74" s="61"/>
      <c r="G74" s="61"/>
      <c r="H74" s="60"/>
      <c r="I74" s="60"/>
      <c r="J74" s="114"/>
      <c r="K74" s="115" t="s">
        <v>30</v>
      </c>
      <c r="L74" s="115"/>
      <c r="M74" s="115" t="s">
        <v>198</v>
      </c>
      <c r="N74" s="116"/>
    </row>
    <row r="75" spans="1:14" x14ac:dyDescent="0.25">
      <c r="A75" s="60"/>
      <c r="B75" s="61"/>
      <c r="C75" s="61"/>
      <c r="D75" s="61"/>
      <c r="E75" s="61"/>
      <c r="F75" s="61"/>
      <c r="G75" s="61"/>
      <c r="H75" s="60"/>
      <c r="I75" s="60"/>
      <c r="J75" s="114" t="s">
        <v>71</v>
      </c>
      <c r="K75" s="115">
        <f>'15. Current tariff method 22'!C20</f>
        <v>35.592744491488908</v>
      </c>
      <c r="L75" s="115"/>
      <c r="M75" s="115">
        <f>K75*10^(-3)</f>
        <v>3.5592744491488908E-2</v>
      </c>
      <c r="N75" s="116"/>
    </row>
    <row r="76" spans="1:14" x14ac:dyDescent="0.25">
      <c r="A76" s="60"/>
      <c r="B76" s="61"/>
      <c r="C76" s="61"/>
      <c r="D76" s="61"/>
      <c r="E76" s="61"/>
      <c r="F76" s="61"/>
      <c r="G76" s="61"/>
      <c r="H76" s="60"/>
      <c r="I76" s="60"/>
      <c r="J76" s="114" t="s">
        <v>201</v>
      </c>
      <c r="K76" s="115">
        <f>'15. Current tariff method 22'!F20</f>
        <v>33.607899226252911</v>
      </c>
      <c r="L76" s="115"/>
      <c r="M76" s="115">
        <f t="shared" ref="M76:M78" si="4">K76*10^(-3)</f>
        <v>3.3607899226252909E-2</v>
      </c>
      <c r="N76" s="116"/>
    </row>
    <row r="77" spans="1:14" x14ac:dyDescent="0.25">
      <c r="A77" s="60"/>
      <c r="B77" s="61"/>
      <c r="C77" s="61"/>
      <c r="D77" s="61"/>
      <c r="E77" s="61"/>
      <c r="F77" s="61"/>
      <c r="G77" s="61"/>
      <c r="H77" s="60"/>
      <c r="I77" s="60"/>
      <c r="J77" s="114" t="s">
        <v>67</v>
      </c>
      <c r="K77" s="115">
        <f>'15. Current tariff method 22'!F20</f>
        <v>33.607899226252911</v>
      </c>
      <c r="L77" s="115"/>
      <c r="M77" s="115">
        <f t="shared" si="4"/>
        <v>3.3607899226252909E-2</v>
      </c>
      <c r="N77" s="116"/>
    </row>
    <row r="78" spans="1:14" x14ac:dyDescent="0.25">
      <c r="A78" s="60"/>
      <c r="B78" s="61"/>
      <c r="C78" s="61"/>
      <c r="D78" s="61"/>
      <c r="E78" s="61"/>
      <c r="F78" s="61"/>
      <c r="G78" s="61"/>
      <c r="H78" s="60"/>
      <c r="I78" s="60"/>
      <c r="J78" s="117" t="s">
        <v>202</v>
      </c>
      <c r="K78" s="118">
        <f>'15. Current tariff method 22'!D20</f>
        <v>39.534581167024569</v>
      </c>
      <c r="L78" s="118"/>
      <c r="M78" s="118">
        <f t="shared" si="4"/>
        <v>3.9534581167024567E-2</v>
      </c>
      <c r="N78" s="119"/>
    </row>
    <row r="79" spans="1:14" x14ac:dyDescent="0.25">
      <c r="A79" s="60"/>
      <c r="B79" s="60"/>
      <c r="C79" s="60"/>
      <c r="D79" s="60"/>
      <c r="E79" s="65"/>
      <c r="F79" s="60"/>
      <c r="G79" s="60"/>
      <c r="H79" s="60"/>
      <c r="I79" s="60"/>
      <c r="J79" s="60"/>
      <c r="K79" s="60"/>
      <c r="L79" s="65"/>
      <c r="M79" s="60"/>
      <c r="N79" s="60"/>
    </row>
    <row r="80" spans="1:14" x14ac:dyDescent="0.25">
      <c r="A80" s="60"/>
      <c r="B80" s="60"/>
      <c r="C80" s="60"/>
      <c r="D80" s="60"/>
      <c r="E80" s="60"/>
      <c r="F80" s="60"/>
      <c r="G80" s="60"/>
      <c r="H80" s="60"/>
      <c r="I80" s="60"/>
      <c r="J80" s="60"/>
      <c r="K80" s="60"/>
      <c r="L80" s="60"/>
      <c r="M80" s="60"/>
      <c r="N80" s="60"/>
    </row>
    <row r="81" spans="1:12" ht="18.75" x14ac:dyDescent="0.3">
      <c r="A81" s="58" t="s">
        <v>151</v>
      </c>
    </row>
    <row r="83" spans="1:12" x14ac:dyDescent="0.25">
      <c r="B83" s="68" t="s">
        <v>152</v>
      </c>
      <c r="J83" s="68" t="s">
        <v>153</v>
      </c>
    </row>
    <row r="84" spans="1:12" x14ac:dyDescent="0.25">
      <c r="B84" s="69" t="s">
        <v>154</v>
      </c>
      <c r="C84" s="69" t="s">
        <v>155</v>
      </c>
      <c r="D84" s="69" t="s">
        <v>156</v>
      </c>
      <c r="E84" s="69" t="s">
        <v>156</v>
      </c>
      <c r="F84" s="69" t="s">
        <v>155</v>
      </c>
      <c r="G84" s="74"/>
      <c r="J84" s="75" t="s">
        <v>157</v>
      </c>
      <c r="K84" s="75"/>
      <c r="L84" s="75"/>
    </row>
    <row r="85" spans="1:12" x14ac:dyDescent="0.25">
      <c r="B85" s="62"/>
      <c r="C85" s="62" t="s">
        <v>64</v>
      </c>
      <c r="D85" s="62" t="s">
        <v>68</v>
      </c>
      <c r="E85" s="62" t="s">
        <v>66</v>
      </c>
      <c r="F85" s="62" t="s">
        <v>96</v>
      </c>
      <c r="G85" s="74"/>
      <c r="J85" s="74"/>
      <c r="K85" s="69" t="s">
        <v>158</v>
      </c>
      <c r="L85" s="69" t="s">
        <v>159</v>
      </c>
    </row>
    <row r="86" spans="1:12" x14ac:dyDescent="0.25">
      <c r="B86" s="69" t="s">
        <v>160</v>
      </c>
      <c r="C86" s="62">
        <f>M20</f>
        <v>3700</v>
      </c>
      <c r="D86" s="62">
        <f>M18</f>
        <v>1E-3</v>
      </c>
      <c r="E86" s="62">
        <f>M19</f>
        <v>1E-3</v>
      </c>
      <c r="F86" s="62">
        <f>M21</f>
        <v>4000</v>
      </c>
      <c r="G86" s="74"/>
      <c r="J86" s="76" t="s">
        <v>70</v>
      </c>
      <c r="K86" s="62">
        <f>(K38*E36+K39*F36)/SUM(K38,K39)</f>
        <v>142.10389610389609</v>
      </c>
      <c r="L86" s="62">
        <f>(K36*C36+K37*D36)/SUM(K36,K37)</f>
        <v>212.6</v>
      </c>
    </row>
    <row r="87" spans="1:12" x14ac:dyDescent="0.25">
      <c r="B87" s="69" t="s">
        <v>161</v>
      </c>
      <c r="C87" s="62">
        <f>C86*C57</f>
        <v>509529.66891947837</v>
      </c>
      <c r="D87" s="62">
        <f>D86*C55</f>
        <v>0.13038936835522202</v>
      </c>
      <c r="E87" s="62">
        <f>E86*C56</f>
        <v>0.22311072132958873</v>
      </c>
      <c r="F87" s="62">
        <f>F86*C58</f>
        <v>464525.29017107189</v>
      </c>
      <c r="G87" s="74"/>
      <c r="J87" s="76" t="s">
        <v>73</v>
      </c>
      <c r="K87" s="62">
        <f>(L38*E37+L39*F37)/SUM(L38,L39)</f>
        <v>85.303896103896108</v>
      </c>
      <c r="L87" s="62">
        <f>(L36*C37+L37*D37)/SUM(L36,L37)</f>
        <v>155.79999999999998</v>
      </c>
    </row>
    <row r="88" spans="1:12" x14ac:dyDescent="0.25">
      <c r="J88" s="76" t="s">
        <v>68</v>
      </c>
      <c r="K88" s="62">
        <f>(M38*E38+M39*F38)/SUM(M38,M39)</f>
        <v>178.30389610389611</v>
      </c>
      <c r="L88" s="62">
        <f>(M36*C38+M37*D38)/SUM(M36,M37)</f>
        <v>311.59999999999997</v>
      </c>
    </row>
    <row r="89" spans="1:12" x14ac:dyDescent="0.25">
      <c r="C89" s="62" t="s">
        <v>162</v>
      </c>
      <c r="J89" s="76" t="s">
        <v>96</v>
      </c>
      <c r="K89" s="62">
        <f>(N38*E39+N39*F39)/SUM(N38,N39)</f>
        <v>92.2</v>
      </c>
      <c r="L89" s="62">
        <f>(N36*C39+N37*D39)/SUM(N36,N37)</f>
        <v>155.79999999999998</v>
      </c>
    </row>
    <row r="90" spans="1:12" x14ac:dyDescent="0.25">
      <c r="B90" s="68" t="s">
        <v>163</v>
      </c>
      <c r="J90" s="68" t="s">
        <v>164</v>
      </c>
      <c r="K90" s="62"/>
      <c r="L90" s="62"/>
    </row>
    <row r="91" spans="1:12" ht="45.75" x14ac:dyDescent="0.25">
      <c r="C91" s="76" t="s">
        <v>165</v>
      </c>
      <c r="D91" s="76" t="s">
        <v>166</v>
      </c>
      <c r="E91" s="76" t="s">
        <v>167</v>
      </c>
      <c r="F91" s="76" t="s">
        <v>168</v>
      </c>
      <c r="G91" s="76" t="s">
        <v>169</v>
      </c>
      <c r="J91" s="76" t="s">
        <v>170</v>
      </c>
      <c r="K91" s="62">
        <f>SUMPRODUCT(C92:C95,J56:J59)</f>
        <v>2.7553757923150238E-5</v>
      </c>
      <c r="L91" s="62"/>
    </row>
    <row r="92" spans="1:12" ht="23.25" x14ac:dyDescent="0.25">
      <c r="B92" s="76" t="s">
        <v>70</v>
      </c>
      <c r="C92" s="62">
        <f>SUM($D$86:$E$86)/SUM($E$18:$E$21)*E18</f>
        <v>3.648659104205324E-5</v>
      </c>
      <c r="D92" s="62" t="s">
        <v>171</v>
      </c>
      <c r="E92" s="62">
        <f>E18-C92</f>
        <v>209.99996351340897</v>
      </c>
      <c r="F92" s="62">
        <f>C92*L86</f>
        <v>7.7570492555405187E-3</v>
      </c>
      <c r="G92" s="62">
        <f>E92*K86</f>
        <v>29841.81299693144</v>
      </c>
      <c r="J92" s="76" t="s">
        <v>172</v>
      </c>
      <c r="K92" s="62">
        <f>K61-K91</f>
        <v>158.58670249160215</v>
      </c>
      <c r="L92" s="62"/>
    </row>
    <row r="93" spans="1:12" ht="23.25" x14ac:dyDescent="0.25">
      <c r="B93" s="76" t="s">
        <v>73</v>
      </c>
      <c r="C93" s="62">
        <f>SUM($D$86:$E$86)/SUM($E$18:$E$21)*E19</f>
        <v>1.3639035222862765E-4</v>
      </c>
      <c r="D93" s="62" t="s">
        <v>171</v>
      </c>
      <c r="E93" s="62">
        <f>E19-C93</f>
        <v>784.99986360964806</v>
      </c>
      <c r="F93" s="62">
        <f>C93*L87</f>
        <v>2.1249616877220184E-2</v>
      </c>
      <c r="G93" s="62">
        <f>E93*K87</f>
        <v>66963.546806930026</v>
      </c>
      <c r="J93" s="76" t="s">
        <v>173</v>
      </c>
      <c r="K93" s="62">
        <f>D86*J67+E86*J68</f>
        <v>7.3142480393277484E-5</v>
      </c>
      <c r="L93" s="62"/>
    </row>
    <row r="94" spans="1:12" x14ac:dyDescent="0.25">
      <c r="B94" s="76" t="s">
        <v>68</v>
      </c>
      <c r="C94" s="62">
        <f>SUM($D$86:$E$86)/SUM($E$18:$E$21)*E20</f>
        <v>6.109033553275445E-4</v>
      </c>
      <c r="D94" s="62" t="s">
        <v>171</v>
      </c>
      <c r="E94" s="62">
        <f>E20-C94</f>
        <v>3516.0775140966448</v>
      </c>
      <c r="F94" s="62">
        <f>C94*L88</f>
        <v>0.19035748552006285</v>
      </c>
      <c r="G94" s="62">
        <f>E94*K88</f>
        <v>626930.31976673345</v>
      </c>
      <c r="J94" s="76" t="s">
        <v>174</v>
      </c>
      <c r="K94" s="62">
        <f>K72-K93</f>
        <v>146.2779503179909</v>
      </c>
      <c r="L94" s="62"/>
    </row>
    <row r="95" spans="1:12" x14ac:dyDescent="0.25">
      <c r="B95" s="76" t="s">
        <v>96</v>
      </c>
      <c r="C95" s="62">
        <f>SUM($D$86:$E$86)/SUM($E$18:$E$21)*E21</f>
        <v>1.2162197014017747E-3</v>
      </c>
      <c r="D95" s="62" t="s">
        <v>171</v>
      </c>
      <c r="E95" s="62">
        <f>E21-C95</f>
        <v>6999.9987837802983</v>
      </c>
      <c r="F95" s="62">
        <f>C95*L89</f>
        <v>0.18948702947839649</v>
      </c>
      <c r="G95" s="62">
        <f>E95*K89</f>
        <v>645399.88786454347</v>
      </c>
      <c r="H95" s="69"/>
      <c r="J95" s="76" t="s">
        <v>175</v>
      </c>
      <c r="K95" s="62">
        <f>K92+K94</f>
        <v>304.86465280959305</v>
      </c>
      <c r="L95" s="62"/>
    </row>
    <row r="96" spans="1:12" x14ac:dyDescent="0.25">
      <c r="B96" s="76"/>
      <c r="C96" s="62"/>
      <c r="D96" s="62"/>
      <c r="E96" s="62"/>
      <c r="F96" s="62"/>
      <c r="G96" s="62"/>
      <c r="J96" s="76" t="s">
        <v>176</v>
      </c>
      <c r="K96" s="62">
        <f>K91+K93</f>
        <v>1.0069623831642772E-4</v>
      </c>
      <c r="L96" s="62"/>
    </row>
    <row r="97" spans="2:12" x14ac:dyDescent="0.25">
      <c r="B97" s="76" t="s">
        <v>177</v>
      </c>
      <c r="C97" s="62">
        <f>SUM(C92:C95)</f>
        <v>2E-3</v>
      </c>
      <c r="D97" s="62"/>
      <c r="E97" s="62">
        <f>SUM(E92:E95)</f>
        <v>11511.076125</v>
      </c>
      <c r="F97" s="62">
        <f>SUM(F92:F95)</f>
        <v>0.40885118113122004</v>
      </c>
      <c r="G97" s="62">
        <f>SUM(G92:G95)</f>
        <v>1369135.5674351384</v>
      </c>
    </row>
    <row r="98" spans="2:12" x14ac:dyDescent="0.25">
      <c r="B98" s="76"/>
      <c r="C98" s="62"/>
      <c r="D98" s="62"/>
      <c r="E98" s="62"/>
      <c r="F98" s="62"/>
      <c r="G98" s="62"/>
    </row>
    <row r="99" spans="2:12" ht="23.25" x14ac:dyDescent="0.25">
      <c r="B99" s="76" t="s">
        <v>178</v>
      </c>
      <c r="C99" s="62">
        <f>SUM(D86:E86)</f>
        <v>2E-3</v>
      </c>
      <c r="D99" s="62"/>
      <c r="E99" s="62"/>
      <c r="F99" s="62"/>
      <c r="G99" s="62"/>
    </row>
    <row r="100" spans="2:12" x14ac:dyDescent="0.25">
      <c r="B100" s="76"/>
    </row>
    <row r="101" spans="2:12" x14ac:dyDescent="0.25">
      <c r="B101" s="76"/>
    </row>
    <row r="102" spans="2:12" x14ac:dyDescent="0.25">
      <c r="B102" s="68" t="s">
        <v>179</v>
      </c>
      <c r="J102" s="68" t="s">
        <v>180</v>
      </c>
    </row>
    <row r="103" spans="2:12" ht="34.5" x14ac:dyDescent="0.25">
      <c r="B103" s="76" t="s">
        <v>169</v>
      </c>
      <c r="C103" s="78"/>
      <c r="D103" s="62">
        <f>G97</f>
        <v>1369135.5674351384</v>
      </c>
      <c r="E103" s="62"/>
      <c r="J103" s="79" t="s">
        <v>181</v>
      </c>
      <c r="K103" s="80"/>
      <c r="L103" s="81"/>
    </row>
    <row r="104" spans="2:12" ht="34.5" x14ac:dyDescent="0.25">
      <c r="B104" s="76" t="s">
        <v>182</v>
      </c>
      <c r="C104" s="78"/>
      <c r="D104" s="62">
        <f>C87+F87</f>
        <v>974054.9590905502</v>
      </c>
      <c r="E104" s="62"/>
      <c r="J104" s="82" t="s">
        <v>183</v>
      </c>
      <c r="K104" s="83">
        <f>K95*10^6/D105</f>
        <v>130.10664278402666</v>
      </c>
      <c r="L104" s="84" t="s">
        <v>184</v>
      </c>
    </row>
    <row r="105" spans="2:12" ht="23.25" x14ac:dyDescent="0.25">
      <c r="B105" s="76" t="s">
        <v>185</v>
      </c>
      <c r="C105" s="78"/>
      <c r="D105" s="62">
        <f>SUM(D103:D104)</f>
        <v>2343190.5265256884</v>
      </c>
      <c r="E105" s="62"/>
      <c r="J105" s="82" t="s">
        <v>186</v>
      </c>
      <c r="K105" s="83">
        <f>K96*10^6/D108</f>
        <v>132.08640448469529</v>
      </c>
      <c r="L105" s="84" t="s">
        <v>187</v>
      </c>
    </row>
    <row r="106" spans="2:12" ht="34.5" x14ac:dyDescent="0.25">
      <c r="B106" s="76" t="s">
        <v>188</v>
      </c>
      <c r="C106" s="78"/>
      <c r="D106" s="62">
        <f>F97</f>
        <v>0.40885118113122004</v>
      </c>
      <c r="E106" s="62"/>
      <c r="J106" s="82" t="s">
        <v>189</v>
      </c>
      <c r="K106" s="85">
        <f>2*(ABS(K104-K105))/(K104+K105)</f>
        <v>1.5101557583558441E-2</v>
      </c>
      <c r="L106" s="84" t="s">
        <v>190</v>
      </c>
    </row>
    <row r="107" spans="2:12" ht="34.5" x14ac:dyDescent="0.25">
      <c r="B107" s="76" t="s">
        <v>191</v>
      </c>
      <c r="C107" s="78"/>
      <c r="D107" s="62">
        <f>SUM(D87:E87)</f>
        <v>0.35350008968481073</v>
      </c>
      <c r="E107" s="62"/>
    </row>
    <row r="108" spans="2:12" ht="34.5" x14ac:dyDescent="0.25">
      <c r="B108" s="76" t="s">
        <v>192</v>
      </c>
      <c r="C108" s="78"/>
      <c r="D108" s="62">
        <f>SUM(D106:D107)</f>
        <v>0.76235127081603071</v>
      </c>
      <c r="E108" s="62"/>
    </row>
    <row r="109" spans="2:12" x14ac:dyDescent="0.25">
      <c r="D109" s="62"/>
      <c r="E109" s="62"/>
    </row>
    <row r="110" spans="2:12" x14ac:dyDescent="0.25">
      <c r="D110" s="62"/>
      <c r="E110" s="62"/>
    </row>
    <row r="115" spans="5:5" x14ac:dyDescent="0.25">
      <c r="E115" s="62"/>
    </row>
  </sheetData>
  <conditionalFormatting sqref="K106">
    <cfRule type="cellIs" dxfId="25" priority="1" operator="lessThan">
      <formula>0.1</formula>
    </cfRule>
    <cfRule type="cellIs" dxfId="24" priority="2" operator="greaterThan">
      <formula>0.1</formula>
    </cfRule>
  </conditionalFormatting>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FF0000"/>
  </sheetPr>
  <dimension ref="A1:N47"/>
  <sheetViews>
    <sheetView workbookViewId="0">
      <selection activeCell="I4" sqref="I4"/>
    </sheetView>
  </sheetViews>
  <sheetFormatPr defaultColWidth="9.140625" defaultRowHeight="15" x14ac:dyDescent="0.25"/>
  <cols>
    <col min="1" max="1" width="14.5703125" style="53" customWidth="1"/>
    <col min="2" max="2" width="11.42578125" style="53" customWidth="1"/>
    <col min="3" max="3" width="12" style="53" customWidth="1"/>
    <col min="4" max="4" width="12.5703125" style="53" customWidth="1"/>
    <col min="5" max="5" width="12.42578125" style="53" customWidth="1"/>
    <col min="6" max="6" width="13.5703125" style="53" customWidth="1"/>
    <col min="7" max="7" width="9.140625" style="53"/>
    <col min="8" max="8" width="17.42578125" style="53" customWidth="1"/>
    <col min="9" max="9" width="15.42578125" style="53" customWidth="1"/>
    <col min="10" max="10" width="10.5703125" style="53" customWidth="1"/>
    <col min="11" max="11" width="29.42578125" style="53" customWidth="1"/>
    <col min="12" max="16384" width="9.140625" style="53"/>
  </cols>
  <sheetData>
    <row r="1" spans="1:14" ht="15.75" thickBot="1" x14ac:dyDescent="0.3">
      <c r="C1" s="137">
        <f>C4/$B$4</f>
        <v>2.2891695213538787E-2</v>
      </c>
      <c r="D1" s="137">
        <f>D4/$B$4</f>
        <v>7.1929368204637745E-2</v>
      </c>
      <c r="E1" s="137">
        <f>E4/$B$4</f>
        <v>0.38760794069417409</v>
      </c>
      <c r="F1" s="137">
        <f>F4/$B$4</f>
        <v>0.51757099588764932</v>
      </c>
    </row>
    <row r="2" spans="1:14" ht="45.75" thickBot="1" x14ac:dyDescent="0.3">
      <c r="A2" s="138" t="s">
        <v>217</v>
      </c>
      <c r="B2" s="139" t="s">
        <v>218</v>
      </c>
      <c r="C2" s="140" t="s">
        <v>219</v>
      </c>
      <c r="D2" s="141" t="s">
        <v>220</v>
      </c>
      <c r="E2" s="141" t="s">
        <v>221</v>
      </c>
      <c r="F2" s="142" t="s">
        <v>222</v>
      </c>
      <c r="H2" s="143" t="s">
        <v>223</v>
      </c>
      <c r="I2" s="278" t="s">
        <v>32</v>
      </c>
      <c r="K2" s="143" t="s">
        <v>224</v>
      </c>
      <c r="L2" s="144">
        <v>2020</v>
      </c>
    </row>
    <row r="3" spans="1:14" x14ac:dyDescent="0.25">
      <c r="A3" s="145" t="s">
        <v>225</v>
      </c>
      <c r="B3" s="146">
        <f>L8</f>
        <v>130.65632293107063</v>
      </c>
      <c r="C3" s="147"/>
      <c r="D3" s="147"/>
      <c r="E3" s="147"/>
      <c r="F3" s="148">
        <f>B3</f>
        <v>130.65632293107063</v>
      </c>
      <c r="H3" s="149" t="s">
        <v>226</v>
      </c>
      <c r="I3" s="150">
        <f>'Forecasted Capacities'!D3</f>
        <v>32801.983742960401</v>
      </c>
      <c r="K3" s="220" t="s">
        <v>14</v>
      </c>
      <c r="L3" s="221">
        <f>Costbase!D30</f>
        <v>435.52107643690204</v>
      </c>
    </row>
    <row r="4" spans="1:14" x14ac:dyDescent="0.25">
      <c r="A4" s="153" t="s">
        <v>227</v>
      </c>
      <c r="B4" s="154">
        <f>L5</f>
        <v>304.8647535058314</v>
      </c>
      <c r="C4" s="155">
        <f>(1/3)*L13</f>
        <v>6.9788710186061227</v>
      </c>
      <c r="D4" s="155">
        <f>((1/3)*L13)+(L14*(2/3))</f>
        <v>21.928729107537073</v>
      </c>
      <c r="E4" s="155">
        <f>(I13/(I11+I15))*(B4-C4-D4)</f>
        <v>118.1679992966323</v>
      </c>
      <c r="F4" s="156">
        <f>B4-C4-D4-E4</f>
        <v>157.78915408305588</v>
      </c>
      <c r="H4" s="149" t="s">
        <v>228</v>
      </c>
      <c r="I4" s="150">
        <f>'Forecasted Capacities'!D4</f>
        <v>1</v>
      </c>
      <c r="K4" s="151"/>
      <c r="L4" s="152"/>
    </row>
    <row r="5" spans="1:14" ht="15.75" thickBot="1" x14ac:dyDescent="0.3">
      <c r="A5" s="153" t="s">
        <v>230</v>
      </c>
      <c r="B5" s="154"/>
      <c r="C5" s="158"/>
      <c r="D5" s="158"/>
      <c r="E5" s="158"/>
      <c r="F5" s="156"/>
      <c r="H5" s="159" t="s">
        <v>231</v>
      </c>
      <c r="I5" s="150">
        <f>'Forecasted Capacities'!D5</f>
        <v>1</v>
      </c>
      <c r="K5" s="151" t="s">
        <v>16</v>
      </c>
      <c r="L5" s="152">
        <f>Costbase!D31</f>
        <v>304.8647535058314</v>
      </c>
      <c r="N5" s="222" t="s">
        <v>259</v>
      </c>
    </row>
    <row r="6" spans="1:14" ht="16.5" thickTop="1" thickBot="1" x14ac:dyDescent="0.3">
      <c r="A6" s="161" t="s">
        <v>218</v>
      </c>
      <c r="B6" s="162">
        <f>SUM(B3:B4)</f>
        <v>435.52107643690204</v>
      </c>
      <c r="C6" s="162">
        <f>SUM(C3:C5)</f>
        <v>6.9788710186061227</v>
      </c>
      <c r="D6" s="162">
        <f>SUM(D3:D4)</f>
        <v>21.928729107537073</v>
      </c>
      <c r="E6" s="162">
        <f>SUM(E3:E4)</f>
        <v>118.1679992966323</v>
      </c>
      <c r="F6" s="163">
        <f>SUM(F3:F5)</f>
        <v>288.44547701412648</v>
      </c>
      <c r="H6" s="164" t="s">
        <v>233</v>
      </c>
      <c r="I6" s="165">
        <f>SUM(I3:I5)</f>
        <v>32803.983742960401</v>
      </c>
      <c r="K6" s="157" t="s">
        <v>229</v>
      </c>
      <c r="L6" s="152">
        <v>43.361400189214798</v>
      </c>
    </row>
    <row r="7" spans="1:14" ht="15.75" thickTop="1" x14ac:dyDescent="0.25">
      <c r="A7" s="223" t="s">
        <v>234</v>
      </c>
      <c r="B7" s="224"/>
      <c r="C7" s="225"/>
      <c r="D7" s="225"/>
      <c r="E7" s="225"/>
      <c r="F7" s="226"/>
      <c r="H7" s="169" t="s">
        <v>235</v>
      </c>
      <c r="I7" s="170"/>
      <c r="K7" s="157" t="s">
        <v>232</v>
      </c>
      <c r="L7" s="160">
        <f>L6/L5</f>
        <v>0.14223159512726483</v>
      </c>
    </row>
    <row r="8" spans="1:14" x14ac:dyDescent="0.25">
      <c r="A8" s="223" t="s">
        <v>237</v>
      </c>
      <c r="B8" s="224"/>
      <c r="C8" s="227"/>
      <c r="D8" s="227"/>
      <c r="E8" s="227"/>
      <c r="F8" s="227"/>
      <c r="H8" s="149" t="s">
        <v>63</v>
      </c>
      <c r="I8" s="150">
        <f>'Forecasted Capacities'!D11</f>
        <v>3700000</v>
      </c>
      <c r="K8" s="151" t="s">
        <v>15</v>
      </c>
      <c r="L8" s="152">
        <f>Costbase!D32</f>
        <v>130.65632293107063</v>
      </c>
    </row>
    <row r="9" spans="1:14" x14ac:dyDescent="0.25">
      <c r="A9" s="228" t="s">
        <v>238</v>
      </c>
      <c r="B9" s="224"/>
      <c r="C9" s="227"/>
      <c r="D9" s="227"/>
      <c r="E9" s="227"/>
      <c r="F9" s="226"/>
      <c r="H9" s="149" t="s">
        <v>65</v>
      </c>
      <c r="I9" s="150">
        <f>'Forecasted Capacities'!D12</f>
        <v>1</v>
      </c>
      <c r="K9" s="151" t="s">
        <v>236</v>
      </c>
      <c r="L9" s="160">
        <f>L5/L3</f>
        <v>0.7</v>
      </c>
    </row>
    <row r="10" spans="1:14" ht="15.75" thickBot="1" x14ac:dyDescent="0.3">
      <c r="A10" s="173" t="s">
        <v>240</v>
      </c>
      <c r="B10" s="174">
        <f>SUM(B7:B9)</f>
        <v>0</v>
      </c>
      <c r="C10" s="174">
        <f t="shared" ref="C10:F10" si="0">SUM(C7:C9)</f>
        <v>0</v>
      </c>
      <c r="D10" s="174">
        <f t="shared" si="0"/>
        <v>0</v>
      </c>
      <c r="E10" s="174">
        <f>SUM(E7:E9)</f>
        <v>0</v>
      </c>
      <c r="F10" s="175">
        <f t="shared" si="0"/>
        <v>0</v>
      </c>
      <c r="H10" s="159" t="s">
        <v>67</v>
      </c>
      <c r="I10" s="150">
        <f>'Forecasted Capacities'!D13</f>
        <v>1</v>
      </c>
      <c r="K10" s="151"/>
      <c r="L10" s="152"/>
    </row>
    <row r="11" spans="1:14" ht="16.5" thickTop="1" thickBot="1" x14ac:dyDescent="0.3">
      <c r="A11" s="178"/>
      <c r="B11" s="179"/>
      <c r="C11" s="180"/>
      <c r="D11" s="180"/>
      <c r="E11" s="180"/>
      <c r="F11" s="181"/>
      <c r="H11" s="164" t="s">
        <v>242</v>
      </c>
      <c r="I11" s="165">
        <f>SUM(I8:I10)</f>
        <v>3700002</v>
      </c>
      <c r="K11" s="151" t="s">
        <v>239</v>
      </c>
      <c r="L11" s="160">
        <v>0.48283987519909233</v>
      </c>
    </row>
    <row r="12" spans="1:14" ht="15.75" thickTop="1" x14ac:dyDescent="0.25">
      <c r="A12" s="173" t="s">
        <v>244</v>
      </c>
      <c r="B12" s="183" t="s">
        <v>218</v>
      </c>
      <c r="C12" s="184" t="s">
        <v>243</v>
      </c>
      <c r="D12" s="184" t="s">
        <v>245</v>
      </c>
      <c r="E12" s="184"/>
      <c r="F12" s="185" t="s">
        <v>246</v>
      </c>
      <c r="H12" s="186" t="s">
        <v>247</v>
      </c>
      <c r="I12" s="150">
        <f>'Forecasted Capacities'!D16</f>
        <v>210000</v>
      </c>
      <c r="K12" s="176" t="s">
        <v>241</v>
      </c>
      <c r="L12" s="177">
        <f>1-L11</f>
        <v>0.51716012480090767</v>
      </c>
    </row>
    <row r="13" spans="1:14" x14ac:dyDescent="0.25">
      <c r="A13" s="153" t="s">
        <v>225</v>
      </c>
      <c r="B13" s="167">
        <f>B3-B7+F5</f>
        <v>130.65632293107063</v>
      </c>
      <c r="C13" s="171"/>
      <c r="D13" s="171"/>
      <c r="E13" s="171"/>
      <c r="F13" s="156">
        <f>F3+F5</f>
        <v>130.65632293107063</v>
      </c>
      <c r="H13" s="159" t="s">
        <v>71</v>
      </c>
      <c r="I13" s="150">
        <f>'Forecasted Capacities'!D17</f>
        <v>3516078.125</v>
      </c>
      <c r="J13" s="150"/>
      <c r="K13" s="176" t="s">
        <v>243</v>
      </c>
      <c r="L13" s="182">
        <f>L6*L11</f>
        <v>20.93661305581837</v>
      </c>
    </row>
    <row r="14" spans="1:14" ht="15.75" thickBot="1" x14ac:dyDescent="0.3">
      <c r="A14" s="153" t="s">
        <v>227</v>
      </c>
      <c r="B14" s="189">
        <f>B4-B8</f>
        <v>304.8647535058314</v>
      </c>
      <c r="C14" s="189">
        <f>C6-C10</f>
        <v>6.9788710186061227</v>
      </c>
      <c r="D14" s="189">
        <f>D4-D10</f>
        <v>21.928729107537073</v>
      </c>
      <c r="E14" s="189">
        <f>E4-E10</f>
        <v>118.1679992966323</v>
      </c>
      <c r="F14" s="189">
        <f>F4-F8-F9</f>
        <v>157.78915408305588</v>
      </c>
      <c r="H14" s="159" t="s">
        <v>72</v>
      </c>
      <c r="I14" s="150">
        <f>'Forecasted Capacities'!D18</f>
        <v>785000.00000000035</v>
      </c>
      <c r="K14" s="187" t="s">
        <v>245</v>
      </c>
      <c r="L14" s="188">
        <f>L12*L6</f>
        <v>22.424787133396428</v>
      </c>
    </row>
    <row r="15" spans="1:14" ht="16.5" thickTop="1" thickBot="1" x14ac:dyDescent="0.3">
      <c r="A15" s="190" t="s">
        <v>218</v>
      </c>
      <c r="B15" s="191">
        <f>SUM(B13:B14)</f>
        <v>435.52107643690204</v>
      </c>
      <c r="C15" s="191">
        <f t="shared" ref="C15:E15" si="1">SUM(C13:C14)</f>
        <v>6.9788710186061227</v>
      </c>
      <c r="D15" s="191">
        <f t="shared" si="1"/>
        <v>21.928729107537073</v>
      </c>
      <c r="E15" s="191">
        <f t="shared" si="1"/>
        <v>118.1679992966323</v>
      </c>
      <c r="F15" s="192">
        <f>SUM(F13:F14)</f>
        <v>288.44547701412648</v>
      </c>
      <c r="H15" s="193" t="s">
        <v>248</v>
      </c>
      <c r="I15" s="194">
        <f>SUM(I12:I14)</f>
        <v>4511078.125</v>
      </c>
    </row>
    <row r="16" spans="1:14" ht="15.75" thickBot="1" x14ac:dyDescent="0.3"/>
    <row r="17" spans="1:13" ht="15.75" thickBot="1" x14ac:dyDescent="0.3">
      <c r="H17" s="143" t="s">
        <v>249</v>
      </c>
      <c r="I17" s="144">
        <v>2019</v>
      </c>
      <c r="M17" s="53">
        <f>'Forecasted Capacities'!D13*10^(-3)</f>
        <v>1E-3</v>
      </c>
    </row>
    <row r="18" spans="1:13" ht="34.5" thickBot="1" x14ac:dyDescent="0.3">
      <c r="A18" s="138" t="s">
        <v>250</v>
      </c>
      <c r="B18" s="195" t="s">
        <v>199</v>
      </c>
      <c r="C18" s="196" t="s">
        <v>29</v>
      </c>
      <c r="D18" s="197" t="s">
        <v>251</v>
      </c>
      <c r="E18" s="198" t="s">
        <v>252</v>
      </c>
      <c r="F18" s="142" t="s">
        <v>253</v>
      </c>
      <c r="H18" s="199" t="s">
        <v>254</v>
      </c>
      <c r="I18" s="200"/>
      <c r="M18" s="53">
        <f>'Forecasted Capacities'!D12*10^(-3)</f>
        <v>1E-3</v>
      </c>
    </row>
    <row r="19" spans="1:13" x14ac:dyDescent="0.25">
      <c r="A19" s="201" t="s">
        <v>260</v>
      </c>
      <c r="B19" s="202">
        <v>12.945207090671333</v>
      </c>
      <c r="C19" s="203">
        <v>15.821607578251736</v>
      </c>
      <c r="D19" s="203">
        <v>14.231059990149252</v>
      </c>
      <c r="E19" s="204">
        <v>11.060432311571477</v>
      </c>
      <c r="F19" s="203">
        <v>10.44720409942445</v>
      </c>
      <c r="M19" s="53">
        <f>'Forecasted Capacities'!D11*10^(-3)</f>
        <v>3700</v>
      </c>
    </row>
    <row r="20" spans="1:13" x14ac:dyDescent="0.25">
      <c r="A20" s="161" t="s">
        <v>256</v>
      </c>
      <c r="B20" s="205">
        <f>B14*10^6/(I11+I15)</f>
        <v>37.128459211793576</v>
      </c>
      <c r="C20" s="206">
        <f>C14*10^6/I13+E20</f>
        <v>35.592744491488908</v>
      </c>
      <c r="D20" s="206">
        <f>D14*10^6/(I8+I9)+F20</f>
        <v>39.534581167024569</v>
      </c>
      <c r="E20" s="207">
        <f>E14/I13*10^6</f>
        <v>33.607899226252911</v>
      </c>
      <c r="F20" s="206">
        <f>F14/(I11+I15-I13)*10^6</f>
        <v>33.607899226252911</v>
      </c>
      <c r="M20" s="53">
        <f>'Forecasted Capacities'!D21*10^(-3)</f>
        <v>4000</v>
      </c>
    </row>
    <row r="21" spans="1:13" ht="15.75" thickBot="1" x14ac:dyDescent="0.3">
      <c r="A21" s="208" t="s">
        <v>257</v>
      </c>
      <c r="B21" s="229">
        <f>$B$13/$I$6</f>
        <v>3.9829407292371602E-3</v>
      </c>
      <c r="C21" s="229">
        <f>$B$13/$I$6</f>
        <v>3.9829407292371602E-3</v>
      </c>
      <c r="D21" s="230">
        <f>$B$13/$I$6</f>
        <v>3.9829407292371602E-3</v>
      </c>
      <c r="E21" s="231">
        <f>D21</f>
        <v>3.9829407292371602E-3</v>
      </c>
      <c r="F21" s="230">
        <f>$B$13/$I$6</f>
        <v>3.9829407292371602E-3</v>
      </c>
    </row>
    <row r="22" spans="1:13" ht="15.75" thickBot="1" x14ac:dyDescent="0.3">
      <c r="A22" s="212" t="s">
        <v>258</v>
      </c>
      <c r="B22" s="213" t="s">
        <v>171</v>
      </c>
      <c r="C22" s="214">
        <f>(C20-$B$20)/$B$20</f>
        <v>-4.1362199049101926E-2</v>
      </c>
      <c r="D22" s="214">
        <f>(D20-$B$20)/$B$20</f>
        <v>6.4805327404125271E-2</v>
      </c>
      <c r="E22" s="214"/>
      <c r="F22" s="214">
        <f>(F20-$B$20)/$B$20</f>
        <v>-9.4821063418176671E-2</v>
      </c>
    </row>
    <row r="23" spans="1:13" x14ac:dyDescent="0.25">
      <c r="G23" s="50"/>
      <c r="H23" s="50"/>
      <c r="I23" s="50"/>
    </row>
    <row r="24" spans="1:13" x14ac:dyDescent="0.25">
      <c r="A24" s="50"/>
      <c r="B24" s="50"/>
      <c r="C24" s="50"/>
      <c r="D24" s="50"/>
      <c r="E24" s="50"/>
      <c r="F24" s="50"/>
      <c r="G24" s="50"/>
      <c r="H24" s="50"/>
      <c r="I24" s="50"/>
      <c r="K24" s="50"/>
      <c r="L24" s="50"/>
    </row>
    <row r="25" spans="1:13" x14ac:dyDescent="0.25">
      <c r="A25" s="215"/>
      <c r="B25" s="50"/>
      <c r="C25" s="50"/>
      <c r="D25" s="50"/>
      <c r="E25" s="50"/>
      <c r="F25" s="50"/>
      <c r="G25" s="50"/>
      <c r="H25" s="50"/>
      <c r="I25" s="50"/>
      <c r="K25" s="50"/>
      <c r="L25" s="50"/>
    </row>
    <row r="26" spans="1:13" x14ac:dyDescent="0.25">
      <c r="A26" s="215"/>
      <c r="B26" s="50"/>
      <c r="C26" s="50"/>
      <c r="D26" s="50"/>
      <c r="E26" s="50"/>
      <c r="F26" s="50"/>
      <c r="G26" s="50"/>
      <c r="H26" s="50"/>
      <c r="I26" s="50"/>
      <c r="K26" s="50"/>
      <c r="L26" s="50"/>
    </row>
    <row r="27" spans="1:13" x14ac:dyDescent="0.25">
      <c r="A27" s="215"/>
      <c r="B27" s="50"/>
      <c r="C27" s="50"/>
      <c r="D27" s="50"/>
      <c r="E27" s="50"/>
      <c r="F27" s="50"/>
      <c r="G27" s="50"/>
      <c r="H27" s="50"/>
      <c r="I27" s="50"/>
      <c r="K27" s="50"/>
      <c r="L27" s="50"/>
    </row>
    <row r="28" spans="1:13" x14ac:dyDescent="0.25">
      <c r="A28" s="215"/>
      <c r="B28" s="50"/>
      <c r="C28" s="50"/>
      <c r="D28" s="50"/>
      <c r="E28" s="50"/>
      <c r="F28" s="50"/>
      <c r="G28" s="50"/>
      <c r="H28" s="50"/>
      <c r="I28" s="50"/>
      <c r="K28" s="50"/>
      <c r="L28" s="50"/>
    </row>
    <row r="29" spans="1:13" x14ac:dyDescent="0.25">
      <c r="A29" s="215"/>
      <c r="B29" s="50"/>
      <c r="C29" s="50"/>
      <c r="D29" s="50"/>
      <c r="E29" s="50"/>
      <c r="F29" s="50"/>
      <c r="G29" s="50"/>
      <c r="H29" s="50"/>
      <c r="I29" s="50"/>
      <c r="K29" s="50"/>
      <c r="L29" s="50"/>
    </row>
    <row r="30" spans="1:13" x14ac:dyDescent="0.25">
      <c r="A30" s="215"/>
      <c r="B30" s="50"/>
      <c r="C30" s="50"/>
      <c r="D30" s="50"/>
      <c r="E30" s="50"/>
      <c r="F30" s="50"/>
      <c r="G30" s="50"/>
      <c r="H30" s="50"/>
      <c r="I30" s="50"/>
      <c r="K30" s="50"/>
      <c r="L30" s="50"/>
    </row>
    <row r="31" spans="1:13" x14ac:dyDescent="0.25">
      <c r="A31" s="215"/>
      <c r="B31" s="50"/>
      <c r="C31" s="50"/>
      <c r="D31" s="50"/>
      <c r="E31" s="50"/>
      <c r="F31" s="50"/>
      <c r="G31" s="50"/>
      <c r="H31" s="50"/>
      <c r="I31" s="50"/>
      <c r="K31" s="50"/>
      <c r="L31" s="50"/>
    </row>
    <row r="32" spans="1:13" x14ac:dyDescent="0.25">
      <c r="A32" s="50"/>
      <c r="B32" s="50"/>
      <c r="C32" s="50"/>
      <c r="D32" s="50"/>
      <c r="E32" s="50"/>
      <c r="F32" s="50"/>
    </row>
    <row r="40" spans="7:10" x14ac:dyDescent="0.25">
      <c r="G40" s="50"/>
      <c r="H40" s="216"/>
      <c r="I40" s="50"/>
      <c r="J40" s="50"/>
    </row>
    <row r="41" spans="7:10" x14ac:dyDescent="0.25">
      <c r="G41" s="50"/>
      <c r="H41" s="216"/>
      <c r="I41" s="50"/>
      <c r="J41" s="50"/>
    </row>
    <row r="42" spans="7:10" x14ac:dyDescent="0.25">
      <c r="G42" s="50"/>
      <c r="H42" s="216"/>
      <c r="I42" s="50"/>
      <c r="J42" s="50"/>
    </row>
    <row r="43" spans="7:10" x14ac:dyDescent="0.25">
      <c r="G43" s="50"/>
      <c r="H43" s="216"/>
      <c r="I43" s="50"/>
      <c r="J43" s="50"/>
    </row>
    <row r="44" spans="7:10" x14ac:dyDescent="0.25">
      <c r="G44" s="50"/>
      <c r="H44" s="216"/>
      <c r="I44" s="50"/>
      <c r="J44" s="50"/>
    </row>
    <row r="45" spans="7:10" x14ac:dyDescent="0.25">
      <c r="G45" s="50"/>
      <c r="H45" s="216"/>
      <c r="I45" s="50"/>
      <c r="J45" s="50"/>
    </row>
    <row r="46" spans="7:10" x14ac:dyDescent="0.25">
      <c r="G46" s="50"/>
      <c r="H46" s="216"/>
      <c r="I46" s="50"/>
      <c r="J46" s="50"/>
    </row>
    <row r="47" spans="7:10" x14ac:dyDescent="0.25">
      <c r="G47" s="50"/>
      <c r="H47" s="216"/>
      <c r="I47" s="50"/>
      <c r="J47" s="50"/>
    </row>
  </sheetData>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FF0000"/>
  </sheetPr>
  <dimension ref="A1:R122"/>
  <sheetViews>
    <sheetView zoomScaleNormal="100" workbookViewId="0">
      <selection activeCell="A25" sqref="A25"/>
    </sheetView>
  </sheetViews>
  <sheetFormatPr defaultColWidth="9.140625" defaultRowHeight="15" x14ac:dyDescent="0.25"/>
  <cols>
    <col min="1" max="1" width="9.140625" style="53"/>
    <col min="2" max="2" width="19.42578125" style="53" customWidth="1"/>
    <col min="3" max="3" width="9.140625" style="53"/>
    <col min="4" max="4" width="14.5703125" style="53" customWidth="1"/>
    <col min="5" max="5" width="13.42578125" style="53" customWidth="1"/>
    <col min="6" max="6" width="11.140625" style="53" customWidth="1"/>
    <col min="7" max="7" width="12.42578125" style="53" customWidth="1"/>
    <col min="8" max="9" width="9.140625" style="53"/>
    <col min="10" max="10" width="17.85546875" style="53" customWidth="1"/>
    <col min="11" max="12" width="9.140625" style="53"/>
    <col min="13" max="13" width="10.5703125" style="53" customWidth="1"/>
    <col min="14" max="14" width="9.140625" style="53" customWidth="1"/>
    <col min="15"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Capacities'!E16*10^(-3)</f>
        <v>2300</v>
      </c>
      <c r="F18" s="61"/>
      <c r="G18" s="60"/>
      <c r="H18" s="60"/>
      <c r="I18" s="60"/>
      <c r="J18" s="61" t="s">
        <v>68</v>
      </c>
      <c r="K18" s="61">
        <v>56.8</v>
      </c>
      <c r="L18" s="61">
        <v>0</v>
      </c>
      <c r="M18" s="61">
        <f>'Forecasted Capacities'!E13*10^(-3)</f>
        <v>145</v>
      </c>
      <c r="N18" s="64"/>
      <c r="R18" s="62"/>
    </row>
    <row r="19" spans="1:18" x14ac:dyDescent="0.25">
      <c r="B19" s="61" t="s">
        <v>73</v>
      </c>
      <c r="C19" s="61">
        <v>56.8</v>
      </c>
      <c r="D19" s="61">
        <v>93</v>
      </c>
      <c r="E19" s="61">
        <f>'Forecasted Capacities'!E18*10^(-3)</f>
        <v>829.99999999999989</v>
      </c>
      <c r="F19" s="61"/>
      <c r="G19" s="60"/>
      <c r="H19" s="60"/>
      <c r="I19" s="60"/>
      <c r="J19" s="61" t="s">
        <v>66</v>
      </c>
      <c r="K19" s="61">
        <v>275.39999999999998</v>
      </c>
      <c r="L19" s="61">
        <v>93</v>
      </c>
      <c r="M19" s="61">
        <f>'Forecasted Capacities'!E12*10^(-3)</f>
        <v>1E-3</v>
      </c>
      <c r="N19" s="61"/>
      <c r="R19" s="62"/>
    </row>
    <row r="20" spans="1:18" x14ac:dyDescent="0.25">
      <c r="B20" s="61" t="s">
        <v>68</v>
      </c>
      <c r="C20" s="61">
        <v>56.8</v>
      </c>
      <c r="D20" s="61">
        <v>0</v>
      </c>
      <c r="E20" s="61">
        <f>'Forecasted Capacities'!E17*10^(-3)</f>
        <v>2456.0315000000001</v>
      </c>
      <c r="F20" s="61"/>
      <c r="G20" s="60"/>
      <c r="H20" s="60"/>
      <c r="I20" s="60"/>
      <c r="J20" s="61" t="s">
        <v>64</v>
      </c>
      <c r="K20" s="61">
        <v>190</v>
      </c>
      <c r="L20" s="61">
        <v>93</v>
      </c>
      <c r="M20" s="61">
        <f>'Forecasted Capacities'!E11*10^(-3)</f>
        <v>3629.1666666666665</v>
      </c>
      <c r="N20" s="61"/>
      <c r="R20" s="62"/>
    </row>
    <row r="21" spans="1:18" x14ac:dyDescent="0.25">
      <c r="B21" s="61" t="s">
        <v>96</v>
      </c>
      <c r="C21" s="61">
        <v>97.8</v>
      </c>
      <c r="D21" s="61">
        <v>93</v>
      </c>
      <c r="E21" s="61">
        <f>'Forecasted Capacities'!E22*10^(-3)</f>
        <v>7000</v>
      </c>
      <c r="F21" s="61"/>
      <c r="G21" s="60"/>
      <c r="H21" s="60"/>
      <c r="I21" s="60"/>
      <c r="J21" s="61" t="s">
        <v>96</v>
      </c>
      <c r="K21" s="61">
        <v>97.8</v>
      </c>
      <c r="L21" s="61">
        <v>93</v>
      </c>
      <c r="M21" s="61">
        <f>'Forecasted Capacities'!E21*10^(-3)</f>
        <v>4000</v>
      </c>
      <c r="N21" s="61"/>
      <c r="R21" s="62"/>
    </row>
    <row r="22" spans="1:18" x14ac:dyDescent="0.25">
      <c r="B22" s="61" t="s">
        <v>79</v>
      </c>
      <c r="C22" s="233">
        <v>0</v>
      </c>
      <c r="D22" s="233">
        <v>150</v>
      </c>
      <c r="E22" s="61">
        <f>'Forecasted Capacities'!E19*10^(-3)</f>
        <v>10994.517589041096</v>
      </c>
      <c r="F22" s="60"/>
      <c r="G22" s="60"/>
      <c r="H22" s="60"/>
      <c r="I22" s="60"/>
      <c r="J22" s="61" t="s">
        <v>77</v>
      </c>
      <c r="K22" s="233">
        <v>200</v>
      </c>
      <c r="L22" s="233">
        <v>50</v>
      </c>
      <c r="M22" s="61">
        <f>'Forecasted Capacities'!E14*10^(-3)</f>
        <v>10994.517589041096</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23580.549089041095</v>
      </c>
      <c r="F24" s="60"/>
      <c r="G24" s="60"/>
      <c r="H24" s="60"/>
      <c r="I24" s="60"/>
      <c r="J24" s="60"/>
      <c r="K24" s="60"/>
      <c r="L24" s="60"/>
      <c r="M24" s="65">
        <f>SUM(M18:M22)</f>
        <v>18768.685255707762</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'20. Current tariff method 23'!B13+'20. Current tariff method 23'!B14</f>
        <v>963.23609994452931</v>
      </c>
      <c r="F26" s="60"/>
      <c r="G26" s="60"/>
      <c r="H26" s="60"/>
      <c r="I26" s="60"/>
      <c r="J26" s="60"/>
      <c r="K26" s="60"/>
      <c r="L26" s="60"/>
      <c r="M26" s="60"/>
      <c r="N26" s="60"/>
    </row>
    <row r="27" spans="1:18" x14ac:dyDescent="0.25">
      <c r="A27" s="63" t="s">
        <v>99</v>
      </c>
      <c r="B27" s="60"/>
      <c r="C27" s="61" t="s">
        <v>100</v>
      </c>
      <c r="D27" s="60"/>
      <c r="E27" s="61">
        <f>'20. Current tariff method 23'!B14</f>
        <v>674.26526996117047</v>
      </c>
      <c r="F27" s="60"/>
      <c r="G27" s="60"/>
      <c r="H27" s="60"/>
      <c r="I27" s="60"/>
      <c r="J27" s="60"/>
      <c r="K27" s="60"/>
      <c r="L27" s="60"/>
      <c r="M27" s="60"/>
      <c r="N27" s="60"/>
    </row>
    <row r="28" spans="1:18" x14ac:dyDescent="0.25">
      <c r="A28" s="63" t="s">
        <v>101</v>
      </c>
      <c r="B28" s="60"/>
      <c r="C28" s="61" t="s">
        <v>102</v>
      </c>
      <c r="D28" s="61"/>
      <c r="E28" s="61">
        <v>0.5</v>
      </c>
      <c r="F28" s="60"/>
      <c r="G28" s="60"/>
      <c r="H28" s="60"/>
      <c r="I28" s="60"/>
      <c r="J28" s="60"/>
      <c r="K28" s="60"/>
      <c r="L28" s="60"/>
      <c r="M28" s="60"/>
      <c r="N28" s="60"/>
    </row>
    <row r="29" spans="1:18" x14ac:dyDescent="0.25">
      <c r="A29" s="63" t="s">
        <v>101</v>
      </c>
      <c r="B29" s="60"/>
      <c r="C29" s="61" t="s">
        <v>103</v>
      </c>
      <c r="D29" s="61"/>
      <c r="E29" s="61">
        <f>E27*E28</f>
        <v>337.13263498058524</v>
      </c>
      <c r="F29" s="60"/>
      <c r="G29" s="60"/>
      <c r="H29" s="60"/>
      <c r="I29" s="60"/>
      <c r="J29" s="60"/>
      <c r="K29" s="60"/>
      <c r="L29" s="60"/>
      <c r="N29" s="60"/>
    </row>
    <row r="30" spans="1:18" x14ac:dyDescent="0.25">
      <c r="B30" s="60"/>
      <c r="C30" s="61" t="s">
        <v>104</v>
      </c>
      <c r="D30" s="61"/>
      <c r="E30" s="61">
        <f>E27*(1-E28)</f>
        <v>337.13263498058524</v>
      </c>
      <c r="F30" s="60"/>
      <c r="G30" s="60"/>
      <c r="H30" s="60"/>
      <c r="I30" s="60"/>
      <c r="J30" s="60"/>
      <c r="K30" s="60"/>
      <c r="L30" s="60"/>
      <c r="M30" s="60"/>
      <c r="N30" s="60"/>
    </row>
    <row r="31" spans="1:18" x14ac:dyDescent="0.25">
      <c r="B31" s="60"/>
      <c r="C31" s="61" t="s">
        <v>105</v>
      </c>
      <c r="D31" s="60"/>
      <c r="E31" s="61">
        <f>'20. Current tariff method 23'!B13</f>
        <v>288.97082998335884</v>
      </c>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$M18</f>
        <v>145</v>
      </c>
      <c r="L37" s="62">
        <f t="shared" ref="K37:L41" si="0">$M18</f>
        <v>145</v>
      </c>
      <c r="M37" s="62">
        <v>0</v>
      </c>
      <c r="N37" s="62">
        <f>$M18</f>
        <v>145</v>
      </c>
      <c r="O37" s="62">
        <f t="shared" ref="O37:P41" si="1">$M18</f>
        <v>145</v>
      </c>
      <c r="P37" s="62">
        <f t="shared" si="1"/>
        <v>145</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1E-3</v>
      </c>
      <c r="L38" s="62">
        <f t="shared" si="0"/>
        <v>1E-3</v>
      </c>
      <c r="M38" s="62">
        <f>$M19</f>
        <v>1E-3</v>
      </c>
      <c r="N38" s="62">
        <f>$M19</f>
        <v>1E-3</v>
      </c>
      <c r="O38" s="62">
        <f t="shared" si="1"/>
        <v>1E-3</v>
      </c>
      <c r="P38" s="62">
        <f t="shared" si="1"/>
        <v>1E-3</v>
      </c>
    </row>
    <row r="39" spans="1:16" x14ac:dyDescent="0.25">
      <c r="B39" s="62" t="s">
        <v>68</v>
      </c>
      <c r="C39" s="62">
        <f>ABS(C20-C20)+ABS(D20-D20)</f>
        <v>0</v>
      </c>
      <c r="D39" s="62">
        <f>ABS(K19-K18)+ABS(L19-L18)</f>
        <v>311.59999999999997</v>
      </c>
      <c r="E39" s="62">
        <f>ABS(K20-K18)+ABS(L20-L18)</f>
        <v>226.2</v>
      </c>
      <c r="F39" s="62">
        <f>ABS(K21-K18)+ABS(L21-L18)</f>
        <v>134</v>
      </c>
      <c r="G39" s="62">
        <f>ABS(K22-K18)+ABS(L22-L18)</f>
        <v>193.2</v>
      </c>
      <c r="J39" s="62" t="s">
        <v>64</v>
      </c>
      <c r="K39" s="62">
        <f t="shared" si="0"/>
        <v>3629.1666666666665</v>
      </c>
      <c r="L39" s="62">
        <f t="shared" si="0"/>
        <v>3629.1666666666665</v>
      </c>
      <c r="M39" s="62">
        <f>$M20</f>
        <v>3629.1666666666665</v>
      </c>
      <c r="N39" s="62">
        <f>$M20</f>
        <v>3629.1666666666665</v>
      </c>
      <c r="O39" s="62">
        <f t="shared" si="1"/>
        <v>3629.1666666666665</v>
      </c>
      <c r="P39" s="62">
        <f t="shared" si="1"/>
        <v>3629.1666666666665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4000</v>
      </c>
      <c r="L40" s="62">
        <f t="shared" si="0"/>
        <v>4000</v>
      </c>
      <c r="M40" s="62">
        <f>$M21</f>
        <v>4000</v>
      </c>
      <c r="N40" s="62">
        <v>0</v>
      </c>
      <c r="O40" s="62">
        <f t="shared" si="1"/>
        <v>4000</v>
      </c>
      <c r="P40" s="62">
        <f t="shared" si="1"/>
        <v>4000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10994.517589041096</v>
      </c>
      <c r="L41" s="62">
        <f t="shared" si="0"/>
        <v>10994.517589041096</v>
      </c>
      <c r="M41" s="62">
        <f>$M22</f>
        <v>10994.517589041096</v>
      </c>
      <c r="N41" s="62">
        <f>$M22</f>
        <v>10994.517589041096</v>
      </c>
      <c r="O41" s="62">
        <f t="shared" si="1"/>
        <v>10994.517589041096</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18768.685255707762</v>
      </c>
      <c r="L43" s="70">
        <f t="shared" ref="L43:P43" si="2">SUM(L37:L41)</f>
        <v>18768.685255707762</v>
      </c>
      <c r="M43" s="70">
        <f t="shared" si="2"/>
        <v>18623.685255707762</v>
      </c>
      <c r="N43" s="70">
        <f t="shared" si="2"/>
        <v>14768.685255707762</v>
      </c>
      <c r="O43" s="70">
        <f>SUM(O37:O41)</f>
        <v>18768.685255707762</v>
      </c>
      <c r="P43" s="70">
        <f t="shared" si="2"/>
        <v>7774.1676666666663</v>
      </c>
    </row>
    <row r="45" spans="1:16" x14ac:dyDescent="0.25">
      <c r="B45" s="68" t="s">
        <v>110</v>
      </c>
      <c r="C45" s="68"/>
      <c r="D45" s="68"/>
      <c r="E45" s="68" t="s">
        <v>111</v>
      </c>
      <c r="F45" s="68"/>
      <c r="G45" s="68"/>
      <c r="H45" s="68" t="s">
        <v>112</v>
      </c>
      <c r="I45" s="68"/>
      <c r="J45" s="68" t="s">
        <v>113</v>
      </c>
      <c r="K45" s="68"/>
    </row>
    <row r="46" spans="1:16" x14ac:dyDescent="0.25">
      <c r="A46" s="63" t="s">
        <v>114</v>
      </c>
      <c r="B46" s="62"/>
      <c r="C46" s="69" t="s">
        <v>115</v>
      </c>
      <c r="D46" s="69"/>
      <c r="E46" s="69" t="s">
        <v>116</v>
      </c>
      <c r="F46" s="62"/>
      <c r="G46" s="62"/>
      <c r="H46" s="69" t="s">
        <v>117</v>
      </c>
      <c r="I46" s="62"/>
      <c r="J46" s="69" t="s">
        <v>118</v>
      </c>
      <c r="K46" s="69" t="s">
        <v>8</v>
      </c>
    </row>
    <row r="47" spans="1:16" x14ac:dyDescent="0.25">
      <c r="B47" s="62" t="s">
        <v>70</v>
      </c>
      <c r="C47" s="62">
        <f>MMULT(C37:G37,K37:K41)/K43</f>
        <v>201.0865793093258</v>
      </c>
      <c r="D47" s="62"/>
      <c r="E47" s="62">
        <f>SUMPRODUCT(C47:C52,E18:E23)</f>
        <v>4803328.2032902185</v>
      </c>
      <c r="F47" s="62"/>
      <c r="G47" s="62"/>
      <c r="H47" s="62">
        <f>E18*C47/$E$47</f>
        <v>9.6287222700011069E-2</v>
      </c>
      <c r="I47" s="62"/>
      <c r="J47" s="69" t="s">
        <v>26</v>
      </c>
      <c r="K47" s="62" t="s">
        <v>68</v>
      </c>
      <c r="L47" s="62" t="s">
        <v>66</v>
      </c>
      <c r="M47" s="62" t="s">
        <v>64</v>
      </c>
      <c r="N47" s="62" t="s">
        <v>96</v>
      </c>
      <c r="O47" s="62" t="s">
        <v>77</v>
      </c>
    </row>
    <row r="48" spans="1:16" x14ac:dyDescent="0.25">
      <c r="B48" s="62" t="s">
        <v>73</v>
      </c>
      <c r="C48" s="62">
        <f>MMULT(C38:G38,L37:L41)/L43</f>
        <v>144.28657930932582</v>
      </c>
      <c r="D48" s="62"/>
      <c r="E48" s="62"/>
      <c r="F48" s="62"/>
      <c r="G48" s="62"/>
      <c r="H48" s="62">
        <f t="shared" ref="H48:H52" si="3">E19*C48/$E$47</f>
        <v>2.493226691124454E-2</v>
      </c>
      <c r="I48" s="62"/>
      <c r="J48" s="62" t="s">
        <v>70</v>
      </c>
      <c r="K48" s="62">
        <f t="shared" ref="K48:O49" si="4">$E18</f>
        <v>2300</v>
      </c>
      <c r="L48" s="62">
        <f t="shared" si="4"/>
        <v>2300</v>
      </c>
      <c r="M48" s="62">
        <f t="shared" si="4"/>
        <v>2300</v>
      </c>
      <c r="N48" s="62">
        <f t="shared" si="4"/>
        <v>2300</v>
      </c>
      <c r="O48" s="62">
        <f t="shared" si="4"/>
        <v>2300</v>
      </c>
    </row>
    <row r="49" spans="2:15" x14ac:dyDescent="0.25">
      <c r="B49" s="62" t="s">
        <v>68</v>
      </c>
      <c r="C49" s="62">
        <f>MMULT(C39:G39,M37:M41)/M43</f>
        <v>186.91567012688154</v>
      </c>
      <c r="D49" s="62"/>
      <c r="E49" s="62"/>
      <c r="F49" s="62"/>
      <c r="G49" s="62"/>
      <c r="H49" s="62">
        <f t="shared" si="3"/>
        <v>9.5573476191106913E-2</v>
      </c>
      <c r="I49" s="62"/>
      <c r="J49" s="62" t="s">
        <v>73</v>
      </c>
      <c r="K49" s="62">
        <f t="shared" si="4"/>
        <v>829.99999999999989</v>
      </c>
      <c r="L49" s="62">
        <f t="shared" si="4"/>
        <v>829.99999999999989</v>
      </c>
      <c r="M49" s="62">
        <f t="shared" si="4"/>
        <v>829.99999999999989</v>
      </c>
      <c r="N49" s="62">
        <f t="shared" si="4"/>
        <v>829.99999999999989</v>
      </c>
      <c r="O49" s="62">
        <f t="shared" si="4"/>
        <v>829.99999999999989</v>
      </c>
    </row>
    <row r="50" spans="2:15" x14ac:dyDescent="0.25">
      <c r="B50" s="62" t="s">
        <v>96</v>
      </c>
      <c r="C50" s="62">
        <f>MMULT(C40:G40,N37:N41)/N43</f>
        <v>132.06614295213799</v>
      </c>
      <c r="D50" s="62"/>
      <c r="E50" s="62"/>
      <c r="F50" s="62"/>
      <c r="G50" s="62"/>
      <c r="H50" s="62">
        <f t="shared" si="3"/>
        <v>0.19246300930086779</v>
      </c>
      <c r="I50" s="62"/>
      <c r="J50" s="62" t="s">
        <v>68</v>
      </c>
      <c r="K50" s="62">
        <v>0</v>
      </c>
      <c r="L50" s="62">
        <f>$E20</f>
        <v>2456.0315000000001</v>
      </c>
      <c r="M50" s="62">
        <f>$E20</f>
        <v>2456.0315000000001</v>
      </c>
      <c r="N50" s="62">
        <f>$E20</f>
        <v>2456.0315000000001</v>
      </c>
      <c r="O50" s="62">
        <f>$E20</f>
        <v>2456.0315000000001</v>
      </c>
    </row>
    <row r="51" spans="2:15" x14ac:dyDescent="0.25">
      <c r="B51" s="62" t="s">
        <v>79</v>
      </c>
      <c r="C51" s="62">
        <f>MMULT(C41:G41,O37:O41)/O43</f>
        <v>258.08657930932583</v>
      </c>
      <c r="H51" s="62">
        <f t="shared" si="3"/>
        <v>0.59074402489676969</v>
      </c>
      <c r="J51" s="62" t="s">
        <v>96</v>
      </c>
      <c r="K51" s="62">
        <f>$E21</f>
        <v>7000</v>
      </c>
      <c r="L51" s="62">
        <f>$E21</f>
        <v>7000</v>
      </c>
      <c r="M51" s="62">
        <f>$E21</f>
        <v>7000</v>
      </c>
      <c r="N51" s="62">
        <v>0</v>
      </c>
      <c r="O51" s="62">
        <f>$E21</f>
        <v>7000</v>
      </c>
    </row>
    <row r="52" spans="2:15" x14ac:dyDescent="0.25">
      <c r="B52" s="62" t="s">
        <v>77</v>
      </c>
      <c r="C52" s="62">
        <f>MMULT(C42:G42,P37:P41)/P43</f>
        <v>104.78870364814617</v>
      </c>
      <c r="H52" s="62">
        <f t="shared" si="3"/>
        <v>0</v>
      </c>
      <c r="J52" s="62" t="s">
        <v>79</v>
      </c>
      <c r="K52" s="62">
        <f>$E22</f>
        <v>10994.517589041096</v>
      </c>
      <c r="L52" s="62">
        <f t="shared" ref="L52:O53" si="5">$E22</f>
        <v>10994.517589041096</v>
      </c>
      <c r="M52" s="62">
        <f t="shared" si="5"/>
        <v>10994.517589041096</v>
      </c>
      <c r="N52" s="62">
        <f t="shared" si="5"/>
        <v>10994.517589041096</v>
      </c>
      <c r="O52" s="62">
        <f t="shared" si="5"/>
        <v>10994.517589041096</v>
      </c>
    </row>
    <row r="53" spans="2:15" x14ac:dyDescent="0.25">
      <c r="C53" s="62"/>
      <c r="H53" s="62"/>
      <c r="J53" s="62" t="s">
        <v>77</v>
      </c>
      <c r="K53" s="62">
        <f>$E23</f>
        <v>0</v>
      </c>
      <c r="L53" s="62">
        <f t="shared" si="5"/>
        <v>0</v>
      </c>
      <c r="M53" s="62">
        <f t="shared" si="5"/>
        <v>0</v>
      </c>
      <c r="N53" s="62">
        <f t="shared" si="5"/>
        <v>0</v>
      </c>
      <c r="O53" s="62">
        <v>0</v>
      </c>
    </row>
    <row r="54" spans="2:15" x14ac:dyDescent="0.25">
      <c r="C54" s="62"/>
      <c r="H54" s="62"/>
      <c r="J54" s="62"/>
      <c r="K54" s="62"/>
      <c r="L54" s="62"/>
      <c r="M54" s="62"/>
      <c r="N54" s="62"/>
    </row>
    <row r="55" spans="2:15" x14ac:dyDescent="0.25">
      <c r="J55" s="70" t="s">
        <v>14</v>
      </c>
      <c r="K55" s="70">
        <f>SUM(K48:K53)</f>
        <v>21124.517589041097</v>
      </c>
      <c r="L55" s="70">
        <f t="shared" ref="L55:O55" si="6">SUM(L48:L53)</f>
        <v>23580.549089041095</v>
      </c>
      <c r="M55" s="70">
        <f t="shared" si="6"/>
        <v>23580.549089041095</v>
      </c>
      <c r="N55" s="70">
        <f t="shared" si="6"/>
        <v>16580.549089041095</v>
      </c>
      <c r="O55" s="70">
        <f t="shared" si="6"/>
        <v>23580.549089041095</v>
      </c>
    </row>
    <row r="57" spans="2:15" x14ac:dyDescent="0.25">
      <c r="B57" s="68" t="s">
        <v>119</v>
      </c>
      <c r="C57" s="68"/>
      <c r="D57" s="68"/>
      <c r="E57" s="68" t="s">
        <v>120</v>
      </c>
      <c r="F57" s="68"/>
      <c r="G57" s="68"/>
      <c r="H57" s="68" t="s">
        <v>121</v>
      </c>
      <c r="I57" s="68"/>
    </row>
    <row r="58" spans="2:15" x14ac:dyDescent="0.25">
      <c r="B58" s="62"/>
      <c r="C58" s="69" t="s">
        <v>122</v>
      </c>
      <c r="D58" s="69"/>
      <c r="E58" s="69" t="s">
        <v>116</v>
      </c>
      <c r="F58" s="69"/>
      <c r="G58" s="69"/>
      <c r="H58" s="69" t="s">
        <v>123</v>
      </c>
    </row>
    <row r="59" spans="2:15" x14ac:dyDescent="0.25">
      <c r="B59" s="62" t="s">
        <v>68</v>
      </c>
      <c r="C59" s="62">
        <f>SUMPRODUCT(K48:K53,C37:C42)/K55</f>
        <v>171.99901593485947</v>
      </c>
      <c r="E59" s="62">
        <f>SUMPRODUCT(C59:C63,M18:M22)</f>
        <v>3830115.3433070132</v>
      </c>
      <c r="F59" s="62"/>
      <c r="G59" s="62"/>
      <c r="H59" s="62">
        <f>M18*C59/$E$59</f>
        <v>6.5115159923672047E-3</v>
      </c>
    </row>
    <row r="60" spans="2:15" x14ac:dyDescent="0.25">
      <c r="B60" s="62" t="s">
        <v>66</v>
      </c>
      <c r="C60" s="62">
        <f>SUMPRODUCT(L48:L53,D37:D42)/L55</f>
        <v>274.71519164105626</v>
      </c>
      <c r="E60" s="62"/>
      <c r="F60" s="62"/>
      <c r="G60" s="62"/>
      <c r="H60" s="62">
        <f>M19*C60/$E$59</f>
        <v>7.1725044030621964E-8</v>
      </c>
    </row>
    <row r="61" spans="2:15" x14ac:dyDescent="0.25">
      <c r="B61" s="62" t="s">
        <v>64</v>
      </c>
      <c r="C61" s="62">
        <f>SUMPRODUCT(M48:M53,E37:E42)/M55</f>
        <v>189.31519164105634</v>
      </c>
      <c r="E61" s="62"/>
      <c r="F61" s="62"/>
      <c r="G61" s="62"/>
      <c r="H61" s="62">
        <f>M20*C61/$E$59</f>
        <v>0.17938268731199952</v>
      </c>
    </row>
    <row r="62" spans="2:15" x14ac:dyDescent="0.25">
      <c r="B62" s="62" t="s">
        <v>96</v>
      </c>
      <c r="C62" s="62">
        <f>SUMPRODUCT(N48:N53,F37:F42)/N55</f>
        <v>138.11542256445267</v>
      </c>
      <c r="E62" s="62"/>
      <c r="F62" s="62"/>
      <c r="G62" s="62"/>
      <c r="H62" s="62">
        <f>M21*C62/$E$59</f>
        <v>0.14424152818875738</v>
      </c>
    </row>
    <row r="63" spans="2:15" x14ac:dyDescent="0.25">
      <c r="B63" s="62" t="s">
        <v>77</v>
      </c>
      <c r="C63" s="62">
        <f>SUMPRODUCT(O48:O53,G37:G42)/O55</f>
        <v>233.35786379417584</v>
      </c>
      <c r="E63" s="62"/>
      <c r="F63" s="62"/>
      <c r="G63" s="62"/>
      <c r="H63" s="62">
        <f>M22*C63/$E$59</f>
        <v>0.66986419678183184</v>
      </c>
    </row>
    <row r="65" spans="2:16" x14ac:dyDescent="0.25">
      <c r="B65" s="68" t="s">
        <v>124</v>
      </c>
      <c r="C65" s="68"/>
      <c r="D65" s="68"/>
      <c r="E65" s="68"/>
      <c r="F65" s="68"/>
      <c r="G65" s="68"/>
      <c r="J65" s="68" t="s">
        <v>125</v>
      </c>
      <c r="K65" s="68"/>
      <c r="L65" s="68"/>
      <c r="M65" s="68"/>
      <c r="N65" s="68" t="s">
        <v>126</v>
      </c>
      <c r="O65" s="68"/>
    </row>
    <row r="66" spans="2:16" x14ac:dyDescent="0.25">
      <c r="J66" s="71" t="s">
        <v>127</v>
      </c>
    </row>
    <row r="67" spans="2:16" x14ac:dyDescent="0.25">
      <c r="B67" s="69" t="s">
        <v>26</v>
      </c>
      <c r="C67" s="69" t="s">
        <v>128</v>
      </c>
      <c r="D67" s="69" t="s">
        <v>129</v>
      </c>
      <c r="E67" s="69" t="s">
        <v>130</v>
      </c>
      <c r="F67" s="69" t="s">
        <v>131</v>
      </c>
      <c r="J67" s="72" t="s">
        <v>132</v>
      </c>
      <c r="K67" s="69" t="s">
        <v>133</v>
      </c>
      <c r="L67" s="69" t="s">
        <v>134</v>
      </c>
      <c r="N67" s="69" t="s">
        <v>135</v>
      </c>
      <c r="O67" s="69" t="s">
        <v>136</v>
      </c>
    </row>
    <row r="68" spans="2:16" x14ac:dyDescent="0.25">
      <c r="B68" s="62" t="s">
        <v>70</v>
      </c>
      <c r="C68" s="62">
        <f>H47</f>
        <v>9.6287222700011069E-2</v>
      </c>
      <c r="D68" s="62">
        <f>E29</f>
        <v>337.13263498058524</v>
      </c>
      <c r="E68" s="62">
        <f>C68*$D$68</f>
        <v>32.461565103817151</v>
      </c>
      <c r="F68" s="62">
        <f>IFERROR(E68/E18,0)</f>
        <v>1.4113723958181369E-2</v>
      </c>
      <c r="G68" s="62"/>
      <c r="J68" s="62" t="s">
        <v>137</v>
      </c>
      <c r="K68" s="62">
        <f t="shared" ref="K68:K73" si="7">IF(J68="yes",F68*0,F68)</f>
        <v>1.4113723958181369E-2</v>
      </c>
      <c r="L68" s="62">
        <f>K68*E18</f>
        <v>32.461565103817151</v>
      </c>
      <c r="M68" s="62"/>
      <c r="N68" s="62">
        <f t="shared" ref="N68:N73" si="8">K68*$E$75/$L$75</f>
        <v>1.7477495298342048E-2</v>
      </c>
      <c r="O68" s="62">
        <f>N68*E18</f>
        <v>40.198239186186711</v>
      </c>
      <c r="P68" s="62"/>
    </row>
    <row r="69" spans="2:16" x14ac:dyDescent="0.25">
      <c r="B69" s="62" t="s">
        <v>73</v>
      </c>
      <c r="C69" s="62">
        <f>H48</f>
        <v>2.493226691124454E-2</v>
      </c>
      <c r="D69" s="62"/>
      <c r="E69" s="62">
        <f t="shared" ref="E69:E73" si="9">C69*$D$68</f>
        <v>8.4054808398271295</v>
      </c>
      <c r="F69" s="62">
        <f t="shared" ref="F69:F73" si="10">IFERROR(E69/E19,0)</f>
        <v>1.0127085349189314E-2</v>
      </c>
      <c r="G69" s="62"/>
      <c r="J69" s="62" t="s">
        <v>137</v>
      </c>
      <c r="K69" s="62">
        <f t="shared" si="7"/>
        <v>1.0127085349189314E-2</v>
      </c>
      <c r="L69" s="62">
        <f>K69*E19</f>
        <v>8.4054808398271295</v>
      </c>
      <c r="M69" s="62"/>
      <c r="N69" s="62">
        <f t="shared" si="8"/>
        <v>1.2540707689961919E-2</v>
      </c>
      <c r="O69" s="62">
        <f>N69*E19</f>
        <v>10.408787382668391</v>
      </c>
      <c r="P69" s="62"/>
    </row>
    <row r="70" spans="2:16" x14ac:dyDescent="0.25">
      <c r="B70" s="62" t="s">
        <v>68</v>
      </c>
      <c r="C70" s="62">
        <f>H49</f>
        <v>9.5573476191106913E-2</v>
      </c>
      <c r="D70" s="62"/>
      <c r="E70" s="62">
        <f t="shared" si="9"/>
        <v>32.220937862562103</v>
      </c>
      <c r="F70" s="62">
        <f t="shared" si="10"/>
        <v>1.3119106111856505E-2</v>
      </c>
      <c r="G70" s="62"/>
      <c r="J70" s="62" t="s">
        <v>137</v>
      </c>
      <c r="K70" s="62">
        <f t="shared" si="7"/>
        <v>1.3119106111856505E-2</v>
      </c>
      <c r="L70" s="62">
        <f>K70*E20</f>
        <v>32.220937862562103</v>
      </c>
      <c r="M70" s="62"/>
      <c r="N70" s="62">
        <f t="shared" si="8"/>
        <v>1.6245826832648896E-2</v>
      </c>
      <c r="O70" s="62">
        <f>N70*E20</f>
        <v>39.900262444530917</v>
      </c>
      <c r="P70" s="62"/>
    </row>
    <row r="71" spans="2:16" x14ac:dyDescent="0.25">
      <c r="B71" s="62" t="s">
        <v>96</v>
      </c>
      <c r="C71" s="62">
        <f>H50</f>
        <v>0.19246300930086779</v>
      </c>
      <c r="D71" s="62"/>
      <c r="E71" s="62">
        <f t="shared" si="9"/>
        <v>64.88556146189444</v>
      </c>
      <c r="F71" s="62">
        <f t="shared" si="10"/>
        <v>9.2693659231277772E-3</v>
      </c>
      <c r="G71" s="62"/>
      <c r="J71" s="62" t="s">
        <v>138</v>
      </c>
      <c r="K71" s="62">
        <f t="shared" si="7"/>
        <v>0</v>
      </c>
      <c r="L71" s="62">
        <f>K71*E21</f>
        <v>0</v>
      </c>
      <c r="M71" s="62"/>
      <c r="N71" s="62">
        <f t="shared" si="8"/>
        <v>0</v>
      </c>
      <c r="O71" s="62">
        <f>N71*E21</f>
        <v>0</v>
      </c>
      <c r="P71" s="62"/>
    </row>
    <row r="72" spans="2:16" x14ac:dyDescent="0.25">
      <c r="B72" s="62" t="s">
        <v>79</v>
      </c>
      <c r="C72" s="62">
        <f t="shared" ref="C72:C73" si="11">H51</f>
        <v>0.59074402489676969</v>
      </c>
      <c r="D72" s="62"/>
      <c r="E72" s="62">
        <f t="shared" si="9"/>
        <v>199.15908971248442</v>
      </c>
      <c r="F72" s="62">
        <f t="shared" si="10"/>
        <v>1.8114400027064253E-2</v>
      </c>
      <c r="G72" s="62"/>
      <c r="J72" s="62" t="s">
        <v>137</v>
      </c>
      <c r="K72" s="62">
        <f t="shared" si="7"/>
        <v>1.8114400027064253E-2</v>
      </c>
      <c r="L72" s="62">
        <f t="shared" ref="L72:L73" si="12">K72*E22</f>
        <v>199.15908971248442</v>
      </c>
      <c r="M72" s="62"/>
      <c r="N72" s="62">
        <f t="shared" si="8"/>
        <v>2.2431665961681276E-2</v>
      </c>
      <c r="O72" s="62">
        <f>N72*E22</f>
        <v>246.62534596719922</v>
      </c>
      <c r="P72" s="62"/>
    </row>
    <row r="73" spans="2:16" x14ac:dyDescent="0.25">
      <c r="B73" s="62" t="s">
        <v>77</v>
      </c>
      <c r="C73" s="62">
        <f t="shared" si="11"/>
        <v>0</v>
      </c>
      <c r="D73" s="62"/>
      <c r="E73" s="62">
        <f t="shared" si="9"/>
        <v>0</v>
      </c>
      <c r="F73" s="62">
        <f t="shared" si="10"/>
        <v>0</v>
      </c>
      <c r="G73" s="62"/>
      <c r="J73" s="62" t="s">
        <v>137</v>
      </c>
      <c r="K73" s="62">
        <f t="shared" si="7"/>
        <v>0</v>
      </c>
      <c r="L73" s="62">
        <f t="shared" si="12"/>
        <v>0</v>
      </c>
      <c r="M73" s="62"/>
      <c r="N73" s="62">
        <f t="shared" si="8"/>
        <v>0</v>
      </c>
      <c r="O73" s="62">
        <f t="shared" ref="O73" si="13">N73*E23</f>
        <v>0</v>
      </c>
      <c r="P73" s="62"/>
    </row>
    <row r="74" spans="2:16" x14ac:dyDescent="0.25">
      <c r="B74" s="62"/>
      <c r="C74" s="62"/>
      <c r="D74" s="62"/>
      <c r="E74" s="62"/>
      <c r="F74" s="62"/>
      <c r="G74" s="62"/>
      <c r="J74" s="62"/>
      <c r="K74" s="62"/>
      <c r="L74" s="62"/>
      <c r="M74" s="62"/>
      <c r="N74" s="62"/>
      <c r="O74" s="62"/>
      <c r="P74" s="62"/>
    </row>
    <row r="75" spans="2:16" x14ac:dyDescent="0.25">
      <c r="E75" s="73">
        <f>SUM(E68:E73)</f>
        <v>337.13263498058524</v>
      </c>
      <c r="L75" s="73">
        <f>SUM(L68:L73)</f>
        <v>272.2470735186908</v>
      </c>
      <c r="O75" s="73">
        <f>SUM(O68:O73)</f>
        <v>337.13263498058524</v>
      </c>
    </row>
    <row r="78" spans="2:16" x14ac:dyDescent="0.25">
      <c r="B78" s="68" t="s">
        <v>139</v>
      </c>
      <c r="C78" s="68"/>
      <c r="D78" s="68"/>
      <c r="E78" s="68"/>
      <c r="F78" s="68"/>
      <c r="G78" s="68"/>
      <c r="J78" s="68" t="s">
        <v>140</v>
      </c>
      <c r="K78" s="68"/>
      <c r="L78" s="68"/>
      <c r="M78" s="68"/>
      <c r="N78" s="68" t="s">
        <v>141</v>
      </c>
      <c r="O78" s="68"/>
    </row>
    <row r="79" spans="2:16" x14ac:dyDescent="0.25">
      <c r="J79" s="71" t="s">
        <v>142</v>
      </c>
    </row>
    <row r="80" spans="2:16" x14ac:dyDescent="0.25">
      <c r="B80" s="69" t="s">
        <v>8</v>
      </c>
      <c r="C80" s="69" t="s">
        <v>143</v>
      </c>
      <c r="D80" s="69" t="s">
        <v>144</v>
      </c>
      <c r="E80" s="69" t="s">
        <v>145</v>
      </c>
      <c r="F80" s="69" t="s">
        <v>146</v>
      </c>
      <c r="J80" s="72" t="s">
        <v>132</v>
      </c>
      <c r="K80" s="69" t="s">
        <v>147</v>
      </c>
      <c r="L80" s="69" t="s">
        <v>148</v>
      </c>
      <c r="N80" s="69" t="s">
        <v>149</v>
      </c>
      <c r="O80" s="69" t="s">
        <v>150</v>
      </c>
    </row>
    <row r="81" spans="1:16" x14ac:dyDescent="0.25">
      <c r="B81" s="62" t="s">
        <v>68</v>
      </c>
      <c r="C81" s="62">
        <f>H59</f>
        <v>6.5115159923672047E-3</v>
      </c>
      <c r="D81" s="62">
        <f>E30</f>
        <v>337.13263498058524</v>
      </c>
      <c r="E81" s="62">
        <f>C81*$D$81</f>
        <v>2.1952445442249759</v>
      </c>
      <c r="F81" s="62">
        <f>E81/M18</f>
        <v>1.5139617546379144E-2</v>
      </c>
      <c r="G81" s="62"/>
      <c r="J81" s="62" t="s">
        <v>137</v>
      </c>
      <c r="K81" s="62">
        <f>IF(J81="yes",F81*0,F81)</f>
        <v>1.5139617546379144E-2</v>
      </c>
      <c r="L81" s="62">
        <f>K81*M18</f>
        <v>2.1952445442249759</v>
      </c>
      <c r="M81" s="62"/>
      <c r="N81" s="62">
        <f>K81*$E$87/$L$87</f>
        <v>1.7691460902905954E-2</v>
      </c>
      <c r="O81" s="62">
        <f>N81*M18</f>
        <v>2.5652618309213633</v>
      </c>
      <c r="P81" s="62"/>
    </row>
    <row r="82" spans="1:16" x14ac:dyDescent="0.25">
      <c r="B82" s="62" t="s">
        <v>66</v>
      </c>
      <c r="C82" s="62">
        <f>H60</f>
        <v>7.1725044030621964E-8</v>
      </c>
      <c r="D82" s="62"/>
      <c r="E82" s="62">
        <f>C82*$D$81</f>
        <v>2.4180853088142078E-5</v>
      </c>
      <c r="F82" s="62">
        <f>E82/M19</f>
        <v>2.4180853088142079E-2</v>
      </c>
      <c r="G82" s="62"/>
      <c r="J82" s="62" t="s">
        <v>137</v>
      </c>
      <c r="K82" s="62">
        <f>IF(J82="yes",F82*0,F82)</f>
        <v>2.4180853088142079E-2</v>
      </c>
      <c r="L82" s="62">
        <f>K82*M19</f>
        <v>2.4180853088142078E-5</v>
      </c>
      <c r="M82" s="62"/>
      <c r="N82" s="62">
        <f>K82*$E$87/$L$87</f>
        <v>2.8256633015811647E-2</v>
      </c>
      <c r="O82" s="62">
        <f>N82*M19</f>
        <v>2.8256633015811649E-5</v>
      </c>
      <c r="P82" s="62"/>
    </row>
    <row r="83" spans="1:16" x14ac:dyDescent="0.25">
      <c r="B83" s="62" t="s">
        <v>64</v>
      </c>
      <c r="C83" s="62">
        <f>H61</f>
        <v>0.17938268731199952</v>
      </c>
      <c r="D83" s="62"/>
      <c r="E83" s="62">
        <f>C83*$D$81</f>
        <v>60.475758043392794</v>
      </c>
      <c r="F83" s="62">
        <f>E83/M20</f>
        <v>1.6663813926996868E-2</v>
      </c>
      <c r="G83" s="62"/>
      <c r="J83" s="62" t="s">
        <v>137</v>
      </c>
      <c r="K83" s="62">
        <f>IF(J83="yes",F83*0,F83)</f>
        <v>1.6663813926996868E-2</v>
      </c>
      <c r="L83" s="62">
        <f>K83*M20</f>
        <v>60.475758043392794</v>
      </c>
      <c r="M83" s="62"/>
      <c r="N83" s="62">
        <f>K83*$E$87/$L$87</f>
        <v>1.9472566706499939E-2</v>
      </c>
      <c r="O83" s="62">
        <f>N83*M20</f>
        <v>70.669190005672689</v>
      </c>
      <c r="P83" s="62"/>
    </row>
    <row r="84" spans="1:16" x14ac:dyDescent="0.25">
      <c r="B84" s="62" t="s">
        <v>96</v>
      </c>
      <c r="C84" s="62">
        <f>H62</f>
        <v>0.14424152818875738</v>
      </c>
      <c r="D84" s="62"/>
      <c r="E84" s="62">
        <f>C84*$D$81</f>
        <v>48.628526471902134</v>
      </c>
      <c r="F84" s="62">
        <f>E84/M21</f>
        <v>1.2157131617975533E-2</v>
      </c>
      <c r="G84" s="62"/>
      <c r="J84" s="62" t="s">
        <v>138</v>
      </c>
      <c r="K84" s="62">
        <f>IF(J84="yes",F84*0,F84)</f>
        <v>0</v>
      </c>
      <c r="L84" s="62">
        <f>K84*M21</f>
        <v>0</v>
      </c>
      <c r="M84" s="62"/>
      <c r="N84" s="62">
        <f>K84*$E$87/$L$87</f>
        <v>0</v>
      </c>
      <c r="O84" s="62">
        <f>N84*M21</f>
        <v>0</v>
      </c>
      <c r="P84" s="62"/>
    </row>
    <row r="85" spans="1:16" x14ac:dyDescent="0.25">
      <c r="B85" s="62" t="s">
        <v>77</v>
      </c>
      <c r="C85" s="62">
        <f>H63</f>
        <v>0.66986419678183184</v>
      </c>
      <c r="D85" s="62"/>
      <c r="E85" s="62">
        <f>C85*$D$81</f>
        <v>225.83308174021224</v>
      </c>
      <c r="F85" s="62">
        <f>E85/M22</f>
        <v>2.0540517572623086E-2</v>
      </c>
      <c r="G85" s="62"/>
      <c r="J85" s="62" t="s">
        <v>137</v>
      </c>
      <c r="K85" s="62">
        <f>IF(J85="yes",F85*0,F85)</f>
        <v>2.0540517572623086E-2</v>
      </c>
      <c r="L85" s="62">
        <f>K85*M22</f>
        <v>225.83308174021224</v>
      </c>
      <c r="M85" s="62"/>
      <c r="N85" s="62">
        <f>K85*$E$87/$L$87</f>
        <v>2.4002704325144883E-2</v>
      </c>
      <c r="O85" s="62">
        <f>N85*M22</f>
        <v>263.8981548873582</v>
      </c>
      <c r="P85" s="62"/>
    </row>
    <row r="86" spans="1:16" x14ac:dyDescent="0.25">
      <c r="B86" s="62"/>
      <c r="C86" s="62"/>
      <c r="D86" s="62"/>
      <c r="E86" s="62"/>
      <c r="F86" s="62"/>
      <c r="G86" s="62"/>
      <c r="J86" s="62"/>
      <c r="K86" s="62"/>
      <c r="L86" s="62"/>
      <c r="M86" s="62"/>
      <c r="N86" s="62"/>
      <c r="O86" s="62"/>
      <c r="P86" s="62"/>
    </row>
    <row r="87" spans="1:16" x14ac:dyDescent="0.25">
      <c r="E87" s="73">
        <f>SUM(E81:E85)</f>
        <v>337.13263498058524</v>
      </c>
      <c r="L87" s="73">
        <f>SUM(L81:L85)</f>
        <v>288.50410850868309</v>
      </c>
      <c r="O87" s="73">
        <f>SUM(O81:O85)</f>
        <v>337.13263498058529</v>
      </c>
    </row>
    <row r="89" spans="1:16" ht="18.75" x14ac:dyDescent="0.3">
      <c r="A89" s="58" t="s">
        <v>151</v>
      </c>
    </row>
    <row r="91" spans="1:16" x14ac:dyDescent="0.25">
      <c r="B91" s="68" t="s">
        <v>152</v>
      </c>
      <c r="J91" s="68" t="s">
        <v>153</v>
      </c>
    </row>
    <row r="92" spans="1:16" x14ac:dyDescent="0.25">
      <c r="B92" s="69" t="s">
        <v>154</v>
      </c>
      <c r="C92" s="69" t="s">
        <v>155</v>
      </c>
      <c r="D92" s="69" t="s">
        <v>156</v>
      </c>
      <c r="E92" s="69" t="s">
        <v>156</v>
      </c>
      <c r="F92" s="69" t="s">
        <v>155</v>
      </c>
      <c r="G92" s="69" t="s">
        <v>156</v>
      </c>
      <c r="J92" s="75" t="s">
        <v>157</v>
      </c>
      <c r="K92" s="75"/>
      <c r="L92" s="75"/>
    </row>
    <row r="93" spans="1:16" x14ac:dyDescent="0.25">
      <c r="B93" s="62"/>
      <c r="C93" s="62" t="s">
        <v>64</v>
      </c>
      <c r="D93" s="62" t="s">
        <v>68</v>
      </c>
      <c r="E93" s="62" t="s">
        <v>66</v>
      </c>
      <c r="F93" s="62" t="s">
        <v>96</v>
      </c>
      <c r="G93" s="62" t="s">
        <v>77</v>
      </c>
      <c r="J93" s="74"/>
      <c r="K93" s="69" t="s">
        <v>158</v>
      </c>
      <c r="L93" s="69" t="s">
        <v>159</v>
      </c>
    </row>
    <row r="94" spans="1:16" x14ac:dyDescent="0.25">
      <c r="B94" s="69" t="s">
        <v>160</v>
      </c>
      <c r="C94" s="62">
        <f>M20</f>
        <v>3629.1666666666665</v>
      </c>
      <c r="D94" s="62">
        <f>M18</f>
        <v>145</v>
      </c>
      <c r="E94" s="62">
        <f>M19</f>
        <v>1E-3</v>
      </c>
      <c r="F94" s="62">
        <f>M21</f>
        <v>4000</v>
      </c>
      <c r="G94" s="74">
        <f>M22</f>
        <v>10994.517589041096</v>
      </c>
      <c r="J94" s="76" t="s">
        <v>70</v>
      </c>
      <c r="K94" s="62">
        <f>(K39*E37+K40*F37)/SUM(K39,K40)</f>
        <v>141.65920262151829</v>
      </c>
      <c r="L94" s="62">
        <f>(K37*C37+K38*D37+K41*G37)/SUM(K37,K38,K41)</f>
        <v>241.78684455778054</v>
      </c>
    </row>
    <row r="95" spans="1:16" x14ac:dyDescent="0.25">
      <c r="B95" s="69" t="s">
        <v>161</v>
      </c>
      <c r="C95" s="62">
        <f>C94*C61</f>
        <v>687056.38299733365</v>
      </c>
      <c r="D95" s="62">
        <f>D94*C59</f>
        <v>24939.857310554624</v>
      </c>
      <c r="E95" s="62">
        <f>E94*C60</f>
        <v>0.27471519164105629</v>
      </c>
      <c r="F95" s="62">
        <f>F94*C62</f>
        <v>552461.69025781064</v>
      </c>
      <c r="G95" s="74">
        <f>G94*C63</f>
        <v>2565657.1380261225</v>
      </c>
      <c r="J95" s="76" t="s">
        <v>73</v>
      </c>
      <c r="K95" s="62">
        <f>(L39*E38+L40*F38)/SUM(L39,L40)</f>
        <v>84.859202621518307</v>
      </c>
      <c r="L95" s="62">
        <f>(L37*C38+L38*D38+L41*G38)/SUM(L37,L38,L41)</f>
        <v>184.98684455778053</v>
      </c>
    </row>
    <row r="96" spans="1:16" x14ac:dyDescent="0.25">
      <c r="J96" s="76" t="s">
        <v>68</v>
      </c>
      <c r="K96" s="62">
        <f>(M39*E39+M40*F39)/SUM(M39,M40)</f>
        <v>177.85920262151831</v>
      </c>
      <c r="L96" s="62">
        <f>(M37*C39+M38*D39+M41*G39)/SUM(M37,M38,M41)</f>
        <v>193.20001076900266</v>
      </c>
    </row>
    <row r="97" spans="2:12" x14ac:dyDescent="0.25">
      <c r="C97" s="62" t="s">
        <v>162</v>
      </c>
      <c r="J97" s="76" t="s">
        <v>96</v>
      </c>
      <c r="K97" s="62">
        <f>(N39*E40+N40*F40)/SUM(N39,N40)</f>
        <v>92.2</v>
      </c>
      <c r="L97" s="62">
        <f>(N37*C40+N38*D40+N41*G40)/SUM(N37,N38,N41)</f>
        <v>145.05421563894174</v>
      </c>
    </row>
    <row r="98" spans="2:12" x14ac:dyDescent="0.25">
      <c r="C98" s="62"/>
      <c r="J98" s="76" t="s">
        <v>79</v>
      </c>
      <c r="K98" s="62">
        <f>(O39*E41+O40*F41)/SUM(O39,O40)</f>
        <v>198.65920262151829</v>
      </c>
      <c r="L98" s="62">
        <f>(O37*C41+O38*D41+O41*G41)/SUM(O37,O38,O41)</f>
        <v>298.78684455778057</v>
      </c>
    </row>
    <row r="99" spans="2:12" x14ac:dyDescent="0.25">
      <c r="C99" s="62"/>
      <c r="J99" s="76" t="s">
        <v>77</v>
      </c>
      <c r="K99" s="62">
        <f>(P39*E42+P40*F42)/SUM(P39,P40)</f>
        <v>101.3407973784817</v>
      </c>
      <c r="L99" s="62">
        <f>(P37*C42+P38*D42+P41*G42)/SUM(P37,P38,P41)</f>
        <v>286.19884276660162</v>
      </c>
    </row>
    <row r="100" spans="2:12" x14ac:dyDescent="0.25">
      <c r="B100" s="68" t="s">
        <v>163</v>
      </c>
      <c r="J100" s="68" t="s">
        <v>164</v>
      </c>
      <c r="K100" s="62"/>
      <c r="L100" s="62"/>
    </row>
    <row r="101" spans="2:12" ht="34.5" x14ac:dyDescent="0.25">
      <c r="C101" s="76" t="s">
        <v>165</v>
      </c>
      <c r="D101" s="76" t="s">
        <v>166</v>
      </c>
      <c r="E101" s="76" t="s">
        <v>167</v>
      </c>
      <c r="F101" s="76" t="s">
        <v>168</v>
      </c>
      <c r="G101" s="76" t="s">
        <v>169</v>
      </c>
      <c r="J101" s="76" t="s">
        <v>170</v>
      </c>
      <c r="K101" s="62">
        <f>SUMPRODUCT(C102:C107,N68:N73)</f>
        <v>159.26241751868187</v>
      </c>
      <c r="L101" s="62"/>
    </row>
    <row r="102" spans="2:12" ht="23.25" x14ac:dyDescent="0.25">
      <c r="B102" s="76" t="s">
        <v>70</v>
      </c>
      <c r="C102" s="62">
        <f t="shared" ref="C102:C107" si="14">SUM($D$94,$E$94,$G$94)/SUM($E$18:$E$23)*E18</f>
        <v>1086.5265544940878</v>
      </c>
      <c r="D102" s="62" t="s">
        <v>171</v>
      </c>
      <c r="E102" s="62">
        <f>E18-C102</f>
        <v>1213.4734455059122</v>
      </c>
      <c r="F102" s="62">
        <f>C102*L94</f>
        <v>262707.82713936287</v>
      </c>
      <c r="G102" s="62">
        <f>E102*K94</f>
        <v>171899.68069275396</v>
      </c>
      <c r="J102" s="76" t="s">
        <v>172</v>
      </c>
      <c r="K102" s="62">
        <f>E29-K101</f>
        <v>177.87021746190337</v>
      </c>
      <c r="L102" s="62"/>
    </row>
    <row r="103" spans="2:12" ht="23.25" x14ac:dyDescent="0.25">
      <c r="B103" s="76" t="s">
        <v>73</v>
      </c>
      <c r="C103" s="62">
        <f t="shared" si="14"/>
        <v>392.0943653174316</v>
      </c>
      <c r="D103" s="62" t="s">
        <v>171</v>
      </c>
      <c r="E103" s="62">
        <f>E19-C103</f>
        <v>437.90563468256829</v>
      </c>
      <c r="F103" s="62">
        <f>C103*L95</f>
        <v>72532.299408957333</v>
      </c>
      <c r="G103" s="62">
        <f>E103*K95</f>
        <v>37160.322982632635</v>
      </c>
      <c r="J103" s="76" t="s">
        <v>173</v>
      </c>
      <c r="K103" s="62">
        <f>D94*N81+E94*N82+G94*N85</f>
        <v>266.46344497491259</v>
      </c>
      <c r="L103" s="62"/>
    </row>
    <row r="104" spans="2:12" ht="23.25" x14ac:dyDescent="0.25">
      <c r="B104" s="76" t="s">
        <v>68</v>
      </c>
      <c r="C104" s="62">
        <f t="shared" si="14"/>
        <v>1160.2362797495418</v>
      </c>
      <c r="D104" s="62" t="s">
        <v>171</v>
      </c>
      <c r="E104" s="62">
        <f>E20-C104</f>
        <v>1295.7952202504582</v>
      </c>
      <c r="F104" s="62">
        <f>C104*L96</f>
        <v>224157.66174219907</v>
      </c>
      <c r="G104" s="62">
        <f>E104*K96</f>
        <v>230469.10463452118</v>
      </c>
      <c r="J104" s="76" t="s">
        <v>174</v>
      </c>
      <c r="K104" s="62">
        <f>E30-K103</f>
        <v>70.669190005672647</v>
      </c>
      <c r="L104" s="62"/>
    </row>
    <row r="105" spans="2:12" ht="21" customHeight="1" x14ac:dyDescent="0.25">
      <c r="B105" s="76" t="s">
        <v>96</v>
      </c>
      <c r="C105" s="62">
        <f>SUM($D$94,$E$94,$G$94)/SUM($E$18:$E$23)*E21</f>
        <v>3306.8199484602669</v>
      </c>
      <c r="D105" s="62" t="s">
        <v>171</v>
      </c>
      <c r="E105" s="62">
        <f>E21-C105</f>
        <v>3693.1800515397331</v>
      </c>
      <c r="F105" s="62">
        <f>C105*L97</f>
        <v>479668.17388310976</v>
      </c>
      <c r="G105" s="62">
        <f>E105*K97</f>
        <v>340511.20075196342</v>
      </c>
      <c r="H105" s="69"/>
      <c r="J105" s="235" t="s">
        <v>175</v>
      </c>
      <c r="K105" s="62">
        <f>K102+K104</f>
        <v>248.53940746757601</v>
      </c>
      <c r="L105" s="62"/>
    </row>
    <row r="106" spans="2:12" x14ac:dyDescent="0.25">
      <c r="B106" s="76" t="s">
        <v>79</v>
      </c>
      <c r="C106" s="62">
        <f t="shared" si="14"/>
        <v>5193.8414410197684</v>
      </c>
      <c r="D106" s="62"/>
      <c r="E106" s="62">
        <f t="shared" ref="E106:E107" si="15">E22-C106</f>
        <v>5800.6761480213272</v>
      </c>
      <c r="F106" s="62">
        <f>C106*L98</f>
        <v>1551851.4952957325</v>
      </c>
      <c r="G106" s="62">
        <f t="shared" ref="G106:G107" si="16">E106*K98</f>
        <v>1152357.6982315772</v>
      </c>
      <c r="H106" s="69"/>
      <c r="J106" s="76"/>
      <c r="K106" s="62"/>
      <c r="L106" s="62"/>
    </row>
    <row r="107" spans="2:12" x14ac:dyDescent="0.25">
      <c r="B107" s="76" t="s">
        <v>77</v>
      </c>
      <c r="C107" s="62">
        <f t="shared" si="14"/>
        <v>0</v>
      </c>
      <c r="D107" s="62"/>
      <c r="E107" s="62">
        <f t="shared" si="15"/>
        <v>0</v>
      </c>
      <c r="F107" s="62">
        <f t="shared" ref="F107" si="17">C107*L99</f>
        <v>0</v>
      </c>
      <c r="G107" s="62">
        <f t="shared" si="16"/>
        <v>0</v>
      </c>
      <c r="H107" s="69"/>
      <c r="J107" s="76"/>
      <c r="K107" s="62"/>
      <c r="L107" s="62"/>
    </row>
    <row r="108" spans="2:12" x14ac:dyDescent="0.25">
      <c r="B108" s="76"/>
      <c r="C108" s="62"/>
      <c r="D108" s="62"/>
      <c r="E108" s="62"/>
      <c r="F108" s="62"/>
      <c r="G108" s="62"/>
      <c r="J108" s="235" t="s">
        <v>176</v>
      </c>
      <c r="K108" s="62">
        <f>K101+K103</f>
        <v>425.72586249359449</v>
      </c>
      <c r="L108" s="62"/>
    </row>
    <row r="109" spans="2:12" x14ac:dyDescent="0.25">
      <c r="B109" s="76" t="s">
        <v>177</v>
      </c>
      <c r="C109" s="62">
        <f>SUM(C102:C107)</f>
        <v>11139.518589041098</v>
      </c>
      <c r="D109" s="62"/>
      <c r="E109" s="62">
        <f>SUM(E102:E107)</f>
        <v>12441.030499999999</v>
      </c>
      <c r="F109" s="62">
        <f>SUM(F102:F107)</f>
        <v>2590917.4574693618</v>
      </c>
      <c r="G109" s="62">
        <f>SUM(G102:G107)</f>
        <v>1932398.0072934483</v>
      </c>
    </row>
    <row r="110" spans="2:12" x14ac:dyDescent="0.25">
      <c r="B110" s="76"/>
      <c r="C110" s="62"/>
      <c r="D110" s="62"/>
      <c r="E110" s="62"/>
      <c r="F110" s="62"/>
      <c r="G110" s="62"/>
    </row>
    <row r="111" spans="2:12" x14ac:dyDescent="0.25">
      <c r="B111" s="76" t="s">
        <v>178</v>
      </c>
      <c r="C111" s="62">
        <f>SUM(D94,E94,G94)</f>
        <v>11139.518589041096</v>
      </c>
      <c r="D111" s="62"/>
      <c r="E111" s="62"/>
      <c r="F111" s="62"/>
      <c r="G111" s="62"/>
    </row>
    <row r="112" spans="2:12" x14ac:dyDescent="0.25">
      <c r="B112" s="76"/>
    </row>
    <row r="113" spans="2:12" x14ac:dyDescent="0.25">
      <c r="B113" s="76"/>
    </row>
    <row r="114" spans="2:12" x14ac:dyDescent="0.25">
      <c r="B114" s="68" t="s">
        <v>179</v>
      </c>
      <c r="J114" s="68" t="s">
        <v>180</v>
      </c>
    </row>
    <row r="115" spans="2:12" ht="29.25" customHeight="1" x14ac:dyDescent="0.25">
      <c r="B115" s="76" t="s">
        <v>169</v>
      </c>
      <c r="C115" s="78"/>
      <c r="D115" s="62">
        <f>G109</f>
        <v>1932398.0072934483</v>
      </c>
      <c r="E115" s="62"/>
      <c r="J115" s="79" t="s">
        <v>181</v>
      </c>
      <c r="K115" s="80"/>
      <c r="L115" s="81"/>
    </row>
    <row r="116" spans="2:12" ht="27" customHeight="1" x14ac:dyDescent="0.25">
      <c r="B116" s="76" t="s">
        <v>182</v>
      </c>
      <c r="C116" s="78"/>
      <c r="D116" s="62">
        <f>C95+F95</f>
        <v>1239518.0732551443</v>
      </c>
      <c r="E116" s="62"/>
      <c r="J116" s="82" t="s">
        <v>183</v>
      </c>
      <c r="K116" s="83">
        <f>K105*10^6/D117</f>
        <v>78.356236784357279</v>
      </c>
      <c r="L116" s="84" t="s">
        <v>184</v>
      </c>
    </row>
    <row r="117" spans="2:12" ht="31.5" customHeight="1" x14ac:dyDescent="0.25">
      <c r="B117" s="77" t="s">
        <v>185</v>
      </c>
      <c r="C117" s="78"/>
      <c r="D117" s="62">
        <f>SUM(D115:D116)</f>
        <v>3171916.0805485928</v>
      </c>
      <c r="E117" s="62"/>
      <c r="J117" s="82" t="s">
        <v>186</v>
      </c>
      <c r="K117" s="83">
        <f>K108*10^6/D120</f>
        <v>82.162434130001245</v>
      </c>
      <c r="L117" s="84" t="s">
        <v>187</v>
      </c>
    </row>
    <row r="118" spans="2:12" ht="28.5" customHeight="1" x14ac:dyDescent="0.25">
      <c r="B118" s="76" t="s">
        <v>188</v>
      </c>
      <c r="C118" s="78"/>
      <c r="D118" s="62">
        <f>F109</f>
        <v>2590917.4574693618</v>
      </c>
      <c r="E118" s="62"/>
      <c r="J118" s="82" t="s">
        <v>189</v>
      </c>
      <c r="K118" s="85">
        <f>2*(ABS(K116-K117))/(K116+K117)</f>
        <v>4.7423733625039613E-2</v>
      </c>
      <c r="L118" s="84" t="s">
        <v>190</v>
      </c>
    </row>
    <row r="119" spans="2:12" ht="34.5" customHeight="1" x14ac:dyDescent="0.25">
      <c r="B119" s="76" t="s">
        <v>191</v>
      </c>
      <c r="C119" s="78"/>
      <c r="D119" s="62">
        <f>SUM(D95,E95,G95)</f>
        <v>2590597.2700518686</v>
      </c>
      <c r="E119" s="62"/>
    </row>
    <row r="120" spans="2:12" ht="30" customHeight="1" x14ac:dyDescent="0.25">
      <c r="B120" s="77" t="s">
        <v>192</v>
      </c>
      <c r="C120" s="78"/>
      <c r="D120" s="62">
        <f>SUM(D118:D119)</f>
        <v>5181514.7275212305</v>
      </c>
      <c r="E120" s="62"/>
    </row>
    <row r="121" spans="2:12" x14ac:dyDescent="0.25">
      <c r="D121" s="62"/>
      <c r="E121" s="62"/>
    </row>
    <row r="122" spans="2:12" x14ac:dyDescent="0.25">
      <c r="D122" s="62"/>
      <c r="E122" s="62"/>
    </row>
  </sheetData>
  <conditionalFormatting sqref="K118">
    <cfRule type="cellIs" dxfId="23" priority="1" operator="lessThan">
      <formula>0.1</formula>
    </cfRule>
    <cfRule type="cellIs" dxfId="22" priority="2" operator="greaterThan">
      <formula>0.1</formula>
    </cfRule>
  </conditionalFormatting>
  <dataValidations count="1">
    <dataValidation type="list" allowBlank="1" showInputMessage="1" showErrorMessage="1" sqref="F12" xr:uid="{00000000-0002-0000-1800-000000000000}">
      <formula1>"Nybro (P1),New entry point (BP1)"</formula1>
    </dataValidation>
  </dataValidations>
  <pageMargins left="0.7" right="0.7" top="0.75" bottom="0.75" header="0.3" footer="0.3"/>
  <pageSetup paperSize="9" orientation="portrait" horizontalDpi="1200" verticalDpi="1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FF0000"/>
  </sheetPr>
  <dimension ref="A1:R123"/>
  <sheetViews>
    <sheetView topLeftCell="A94" workbookViewId="0">
      <selection activeCell="A25" sqref="A25"/>
    </sheetView>
  </sheetViews>
  <sheetFormatPr defaultColWidth="9.140625" defaultRowHeight="15" x14ac:dyDescent="0.25"/>
  <cols>
    <col min="1" max="2" width="9.140625" style="53"/>
    <col min="3" max="3" width="9.42578125" style="53" bestFit="1" customWidth="1"/>
    <col min="4" max="6" width="10" style="53" bestFit="1" customWidth="1"/>
    <col min="7" max="7" width="10.5703125" style="53" bestFit="1" customWidth="1"/>
    <col min="8" max="9" width="9.140625" style="53"/>
    <col min="10" max="16" width="9.42578125" style="53" bestFit="1" customWidth="1"/>
    <col min="17"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Capacities'!E16*10^(-3)</f>
        <v>2300</v>
      </c>
      <c r="F18" s="61"/>
      <c r="G18" s="60"/>
      <c r="H18" s="60"/>
      <c r="I18" s="60"/>
      <c r="J18" s="61" t="s">
        <v>68</v>
      </c>
      <c r="K18" s="61">
        <v>56.8</v>
      </c>
      <c r="L18" s="61">
        <v>0</v>
      </c>
      <c r="M18" s="61">
        <f>'Forecasted Capacities'!E13*10^(-3)</f>
        <v>145</v>
      </c>
      <c r="N18" s="64"/>
      <c r="R18" s="62"/>
    </row>
    <row r="19" spans="1:18" x14ac:dyDescent="0.25">
      <c r="B19" s="61" t="s">
        <v>73</v>
      </c>
      <c r="C19" s="61">
        <v>56.8</v>
      </c>
      <c r="D19" s="61">
        <v>93</v>
      </c>
      <c r="E19" s="61">
        <f>'Forecasted Capacities'!E18*10^(-3)</f>
        <v>829.99999999999989</v>
      </c>
      <c r="F19" s="61"/>
      <c r="G19" s="60"/>
      <c r="H19" s="60"/>
      <c r="I19" s="60"/>
      <c r="J19" s="61" t="s">
        <v>66</v>
      </c>
      <c r="K19" s="61">
        <v>275.39999999999998</v>
      </c>
      <c r="L19" s="61">
        <v>93</v>
      </c>
      <c r="M19" s="61">
        <f>'Forecasted Capacities'!E12*10^(-3)</f>
        <v>1E-3</v>
      </c>
      <c r="N19" s="61"/>
      <c r="R19" s="62"/>
    </row>
    <row r="20" spans="1:18" x14ac:dyDescent="0.25">
      <c r="B20" s="61" t="s">
        <v>68</v>
      </c>
      <c r="C20" s="61">
        <v>56.8</v>
      </c>
      <c r="D20" s="61">
        <v>0</v>
      </c>
      <c r="E20" s="61">
        <f>'Forecasted Capacities'!E17*10^(-3)</f>
        <v>2456.0315000000001</v>
      </c>
      <c r="F20" s="61"/>
      <c r="G20" s="60"/>
      <c r="H20" s="60"/>
      <c r="I20" s="60"/>
      <c r="J20" s="61" t="s">
        <v>64</v>
      </c>
      <c r="K20" s="61">
        <v>190</v>
      </c>
      <c r="L20" s="61">
        <v>93</v>
      </c>
      <c r="M20" s="61">
        <f>'Forecasted Capacities'!E11*10^(-3)</f>
        <v>3629.1666666666665</v>
      </c>
      <c r="N20" s="61"/>
      <c r="R20" s="62"/>
    </row>
    <row r="21" spans="1:18" x14ac:dyDescent="0.25">
      <c r="B21" s="61" t="s">
        <v>96</v>
      </c>
      <c r="C21" s="61">
        <v>97.8</v>
      </c>
      <c r="D21" s="61">
        <v>93</v>
      </c>
      <c r="E21" s="61">
        <f>'Forecasted Capacities'!E22*10^(-3)</f>
        <v>7000</v>
      </c>
      <c r="F21" s="61"/>
      <c r="G21" s="60"/>
      <c r="H21" s="60"/>
      <c r="I21" s="60"/>
      <c r="J21" s="61" t="s">
        <v>96</v>
      </c>
      <c r="K21" s="61">
        <v>97.8</v>
      </c>
      <c r="L21" s="61">
        <v>93</v>
      </c>
      <c r="M21" s="61">
        <f>'Forecasted Capacities'!E21*10^(-3)</f>
        <v>4000</v>
      </c>
      <c r="N21" s="61"/>
      <c r="R21" s="62"/>
    </row>
    <row r="22" spans="1:18" x14ac:dyDescent="0.25">
      <c r="B22" s="61" t="s">
        <v>79</v>
      </c>
      <c r="C22" s="233">
        <v>0</v>
      </c>
      <c r="D22" s="233">
        <v>150</v>
      </c>
      <c r="E22" s="61">
        <f>'Forecasted Capacities'!E19*10^(-3)</f>
        <v>10994.517589041096</v>
      </c>
      <c r="F22" s="60"/>
      <c r="G22" s="60"/>
      <c r="H22" s="60"/>
      <c r="I22" s="60"/>
      <c r="J22" s="61" t="s">
        <v>77</v>
      </c>
      <c r="K22" s="233">
        <v>200</v>
      </c>
      <c r="L22" s="233">
        <v>50</v>
      </c>
      <c r="M22" s="61">
        <f>'Forecasted Capacities'!E14*10^(-3)</f>
        <v>10994.517589041096</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23580.549089041095</v>
      </c>
      <c r="F24" s="60"/>
      <c r="G24" s="60"/>
      <c r="H24" s="60"/>
      <c r="I24" s="60"/>
      <c r="J24" s="60"/>
      <c r="K24" s="60"/>
      <c r="L24" s="60"/>
      <c r="M24" s="65">
        <f>SUM(M18:M22)</f>
        <v>18768.685255707762</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'20. Current tariff method 23'!B13+'20. Current tariff method 23'!B14</f>
        <v>963.23609994452931</v>
      </c>
      <c r="F26" s="60"/>
      <c r="G26" s="60"/>
      <c r="H26" s="60"/>
      <c r="I26" s="60"/>
      <c r="J26" s="60"/>
      <c r="K26" s="60"/>
      <c r="L26" s="60"/>
      <c r="M26" s="60"/>
      <c r="N26" s="60"/>
    </row>
    <row r="27" spans="1:18" x14ac:dyDescent="0.25">
      <c r="A27" s="63" t="s">
        <v>99</v>
      </c>
      <c r="B27" s="60"/>
      <c r="C27" s="61" t="s">
        <v>100</v>
      </c>
      <c r="D27" s="60"/>
      <c r="E27" s="61">
        <f>'20. Current tariff method 23'!B14</f>
        <v>674.26526996117047</v>
      </c>
      <c r="F27" s="60"/>
      <c r="G27" s="60"/>
      <c r="H27" s="60"/>
      <c r="I27" s="60"/>
      <c r="J27" s="60"/>
      <c r="K27" s="60"/>
      <c r="L27" s="60"/>
      <c r="M27" s="60"/>
      <c r="N27" s="60"/>
    </row>
    <row r="28" spans="1:18" x14ac:dyDescent="0.25">
      <c r="A28" s="63" t="s">
        <v>101</v>
      </c>
      <c r="B28" s="60"/>
      <c r="C28" s="61" t="s">
        <v>102</v>
      </c>
      <c r="D28" s="61"/>
      <c r="E28" s="61">
        <v>0.5</v>
      </c>
      <c r="F28" s="60"/>
      <c r="G28" s="60"/>
      <c r="H28" s="60"/>
      <c r="I28" s="60"/>
      <c r="J28" s="60"/>
      <c r="K28" s="60"/>
      <c r="L28" s="60"/>
      <c r="M28" s="60"/>
      <c r="N28" s="60"/>
    </row>
    <row r="29" spans="1:18" x14ac:dyDescent="0.25">
      <c r="A29" s="63" t="s">
        <v>101</v>
      </c>
      <c r="B29" s="60"/>
      <c r="C29" s="61" t="s">
        <v>103</v>
      </c>
      <c r="D29" s="61"/>
      <c r="E29" s="61">
        <f>E27*E28</f>
        <v>337.13263498058524</v>
      </c>
      <c r="F29" s="60"/>
      <c r="G29" s="60"/>
      <c r="H29" s="60"/>
      <c r="I29" s="60"/>
      <c r="J29" s="60"/>
      <c r="K29" s="60"/>
      <c r="L29" s="60"/>
      <c r="N29" s="60"/>
    </row>
    <row r="30" spans="1:18" x14ac:dyDescent="0.25">
      <c r="B30" s="60"/>
      <c r="C30" s="61" t="s">
        <v>104</v>
      </c>
      <c r="D30" s="61"/>
      <c r="E30" s="61">
        <f>E27*(1-E28)</f>
        <v>337.13263498058524</v>
      </c>
      <c r="F30" s="60"/>
      <c r="G30" s="60"/>
      <c r="H30" s="60"/>
      <c r="I30" s="60"/>
      <c r="J30" s="60"/>
      <c r="K30" s="60"/>
      <c r="L30" s="60"/>
      <c r="M30" s="60"/>
      <c r="N30" s="60"/>
    </row>
    <row r="31" spans="1:18" x14ac:dyDescent="0.25">
      <c r="B31" s="60"/>
      <c r="C31" s="61" t="s">
        <v>105</v>
      </c>
      <c r="D31" s="60"/>
      <c r="E31" s="61">
        <f>'20. Current tariff method 23'!B13</f>
        <v>288.97082998335884</v>
      </c>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 t="shared" ref="K37:L41" si="0">$M18</f>
        <v>145</v>
      </c>
      <c r="L37" s="62">
        <f t="shared" si="0"/>
        <v>145</v>
      </c>
      <c r="M37" s="62">
        <v>0</v>
      </c>
      <c r="N37" s="62">
        <f>$M18</f>
        <v>145</v>
      </c>
      <c r="O37" s="62">
        <f t="shared" ref="O37:P41" si="1">$M18</f>
        <v>145</v>
      </c>
      <c r="P37" s="62">
        <f t="shared" si="1"/>
        <v>145</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1E-3</v>
      </c>
      <c r="L38" s="62">
        <f t="shared" si="0"/>
        <v>1E-3</v>
      </c>
      <c r="M38" s="62">
        <f>$M19</f>
        <v>1E-3</v>
      </c>
      <c r="N38" s="62">
        <f>$M19</f>
        <v>1E-3</v>
      </c>
      <c r="O38" s="62">
        <f t="shared" si="1"/>
        <v>1E-3</v>
      </c>
      <c r="P38" s="62">
        <f t="shared" si="1"/>
        <v>1E-3</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3629.1666666666665</v>
      </c>
      <c r="L39" s="62">
        <f t="shared" si="0"/>
        <v>3629.1666666666665</v>
      </c>
      <c r="M39" s="62">
        <f>$M20</f>
        <v>3629.1666666666665</v>
      </c>
      <c r="N39" s="62">
        <f>$M20</f>
        <v>3629.1666666666665</v>
      </c>
      <c r="O39" s="62">
        <f t="shared" si="1"/>
        <v>3629.1666666666665</v>
      </c>
      <c r="P39" s="62">
        <f t="shared" si="1"/>
        <v>3629.1666666666665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4000</v>
      </c>
      <c r="L40" s="62">
        <f t="shared" si="0"/>
        <v>4000</v>
      </c>
      <c r="M40" s="62">
        <f>$M21</f>
        <v>4000</v>
      </c>
      <c r="N40" s="62">
        <v>0</v>
      </c>
      <c r="O40" s="62">
        <f t="shared" si="1"/>
        <v>4000</v>
      </c>
      <c r="P40" s="62">
        <f t="shared" si="1"/>
        <v>4000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10994.517589041096</v>
      </c>
      <c r="L41" s="62">
        <f t="shared" si="0"/>
        <v>10994.517589041096</v>
      </c>
      <c r="M41" s="62">
        <f>$M22</f>
        <v>10994.517589041096</v>
      </c>
      <c r="N41" s="62">
        <f>$M22</f>
        <v>10994.517589041096</v>
      </c>
      <c r="O41" s="62">
        <f t="shared" si="1"/>
        <v>10994.517589041096</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18768.685255707762</v>
      </c>
      <c r="L43" s="70">
        <f t="shared" ref="L43:P43" si="2">SUM(L37:L41)</f>
        <v>18768.685255707762</v>
      </c>
      <c r="M43" s="70">
        <f t="shared" si="2"/>
        <v>18623.685255707762</v>
      </c>
      <c r="N43" s="70">
        <f t="shared" si="2"/>
        <v>14768.685255707762</v>
      </c>
      <c r="O43" s="70">
        <f>SUM(O37:O41)</f>
        <v>18768.685255707762</v>
      </c>
      <c r="P43" s="70">
        <f t="shared" si="2"/>
        <v>7774.1676666666663</v>
      </c>
    </row>
    <row r="45" spans="1:16" x14ac:dyDescent="0.25">
      <c r="B45" s="68" t="s">
        <v>110</v>
      </c>
      <c r="C45" s="68"/>
      <c r="D45" s="68"/>
      <c r="E45" s="68" t="s">
        <v>111</v>
      </c>
      <c r="F45" s="68"/>
      <c r="G45" s="68"/>
      <c r="H45" s="68"/>
      <c r="I45" s="68"/>
      <c r="J45" s="68" t="s">
        <v>113</v>
      </c>
      <c r="K45" s="68"/>
    </row>
    <row r="46" spans="1:16" x14ac:dyDescent="0.25">
      <c r="A46" s="63" t="s">
        <v>114</v>
      </c>
      <c r="B46" s="62"/>
      <c r="C46" s="69" t="s">
        <v>115</v>
      </c>
      <c r="D46" s="69"/>
      <c r="E46" s="69" t="s">
        <v>116</v>
      </c>
      <c r="F46" s="62"/>
      <c r="G46" s="62"/>
      <c r="H46" s="69"/>
      <c r="I46" s="62"/>
      <c r="J46" s="69" t="s">
        <v>118</v>
      </c>
      <c r="K46" s="69" t="s">
        <v>8</v>
      </c>
    </row>
    <row r="47" spans="1:16" x14ac:dyDescent="0.25">
      <c r="B47" s="62" t="s">
        <v>70</v>
      </c>
      <c r="C47" s="62">
        <f>MMULT(C37:G37,K37:K41)/K43</f>
        <v>201.0865793093258</v>
      </c>
      <c r="D47" s="62"/>
      <c r="E47" s="62">
        <f>SUMPRODUCT(C47:C52,E18:E23)</f>
        <v>4803328.2032902185</v>
      </c>
      <c r="F47" s="62"/>
      <c r="G47" s="62"/>
      <c r="H47" s="62"/>
      <c r="I47" s="62"/>
      <c r="J47" s="69" t="s">
        <v>26</v>
      </c>
      <c r="K47" s="62" t="s">
        <v>68</v>
      </c>
      <c r="L47" s="62" t="s">
        <v>66</v>
      </c>
      <c r="M47" s="62" t="s">
        <v>64</v>
      </c>
      <c r="N47" s="62" t="s">
        <v>96</v>
      </c>
      <c r="O47" s="62" t="s">
        <v>77</v>
      </c>
    </row>
    <row r="48" spans="1:16" x14ac:dyDescent="0.25">
      <c r="B48" s="62" t="s">
        <v>73</v>
      </c>
      <c r="C48" s="62">
        <f>MMULT(C38:G38,L37:L41)/L43</f>
        <v>144.28657930932582</v>
      </c>
      <c r="D48" s="62"/>
      <c r="E48" s="62"/>
      <c r="F48" s="62"/>
      <c r="G48" s="62"/>
      <c r="H48" s="62"/>
      <c r="I48" s="62"/>
      <c r="J48" s="62" t="s">
        <v>70</v>
      </c>
      <c r="K48" s="62">
        <f t="shared" ref="K48:O49" si="3">$E18</f>
        <v>2300</v>
      </c>
      <c r="L48" s="62">
        <f t="shared" si="3"/>
        <v>2300</v>
      </c>
      <c r="M48" s="62">
        <f t="shared" si="3"/>
        <v>2300</v>
      </c>
      <c r="N48" s="62">
        <f t="shared" si="3"/>
        <v>2300</v>
      </c>
      <c r="O48" s="62">
        <f t="shared" si="3"/>
        <v>2300</v>
      </c>
    </row>
    <row r="49" spans="2:15" x14ac:dyDescent="0.25">
      <c r="B49" s="62" t="s">
        <v>68</v>
      </c>
      <c r="C49" s="62">
        <f>MMULT(C39:G39,M37:M41)/M43</f>
        <v>186.91567012688154</v>
      </c>
      <c r="D49" s="62"/>
      <c r="E49" s="62"/>
      <c r="F49" s="62"/>
      <c r="G49" s="62"/>
      <c r="H49" s="62"/>
      <c r="I49" s="62"/>
      <c r="J49" s="62" t="s">
        <v>73</v>
      </c>
      <c r="K49" s="62">
        <f t="shared" si="3"/>
        <v>829.99999999999989</v>
      </c>
      <c r="L49" s="62">
        <f t="shared" si="3"/>
        <v>829.99999999999989</v>
      </c>
      <c r="M49" s="62">
        <f t="shared" si="3"/>
        <v>829.99999999999989</v>
      </c>
      <c r="N49" s="62">
        <f t="shared" si="3"/>
        <v>829.99999999999989</v>
      </c>
      <c r="O49" s="62">
        <f t="shared" si="3"/>
        <v>829.99999999999989</v>
      </c>
    </row>
    <row r="50" spans="2:15" x14ac:dyDescent="0.25">
      <c r="B50" s="62" t="s">
        <v>96</v>
      </c>
      <c r="C50" s="62">
        <f>MMULT(C40:G40,N37:N41)/N43</f>
        <v>132.06614295213799</v>
      </c>
      <c r="D50" s="62"/>
      <c r="E50" s="62"/>
      <c r="F50" s="62"/>
      <c r="G50" s="62"/>
      <c r="H50" s="62"/>
      <c r="I50" s="62"/>
      <c r="J50" s="62" t="s">
        <v>68</v>
      </c>
      <c r="K50" s="62">
        <v>0</v>
      </c>
      <c r="L50" s="62">
        <f>$E20</f>
        <v>2456.0315000000001</v>
      </c>
      <c r="M50" s="62">
        <f>$E20</f>
        <v>2456.0315000000001</v>
      </c>
      <c r="N50" s="62">
        <f>$E20</f>
        <v>2456.0315000000001</v>
      </c>
      <c r="O50" s="62">
        <f>$E20</f>
        <v>2456.0315000000001</v>
      </c>
    </row>
    <row r="51" spans="2:15" x14ac:dyDescent="0.25">
      <c r="B51" s="62" t="s">
        <v>79</v>
      </c>
      <c r="C51" s="62">
        <f>MMULT(C41:G41,O37:O41)/O43</f>
        <v>258.08657930932583</v>
      </c>
      <c r="H51" s="62"/>
      <c r="J51" s="62" t="s">
        <v>96</v>
      </c>
      <c r="K51" s="62">
        <f>$E21</f>
        <v>7000</v>
      </c>
      <c r="L51" s="62">
        <f>$E21</f>
        <v>7000</v>
      </c>
      <c r="M51" s="62">
        <f>$E21</f>
        <v>7000</v>
      </c>
      <c r="N51" s="62">
        <v>0</v>
      </c>
      <c r="O51" s="62">
        <f>$E21</f>
        <v>7000</v>
      </c>
    </row>
    <row r="52" spans="2:15" x14ac:dyDescent="0.25">
      <c r="B52" s="62" t="s">
        <v>77</v>
      </c>
      <c r="C52" s="62">
        <f>MMULT(C42:G42,P37:P41)/P43</f>
        <v>104.78870364814617</v>
      </c>
      <c r="H52" s="62"/>
      <c r="J52" s="62" t="s">
        <v>79</v>
      </c>
      <c r="K52" s="62">
        <f>$E22</f>
        <v>10994.517589041096</v>
      </c>
      <c r="L52" s="62">
        <f t="shared" ref="L52:O53" si="4">$E22</f>
        <v>10994.517589041096</v>
      </c>
      <c r="M52" s="62">
        <f t="shared" si="4"/>
        <v>10994.517589041096</v>
      </c>
      <c r="N52" s="62">
        <f t="shared" si="4"/>
        <v>10994.517589041096</v>
      </c>
      <c r="O52" s="62">
        <f t="shared" si="4"/>
        <v>10994.517589041096</v>
      </c>
    </row>
    <row r="53" spans="2:15" x14ac:dyDescent="0.25">
      <c r="C53" s="62"/>
      <c r="H53" s="62"/>
      <c r="J53" s="62" t="s">
        <v>77</v>
      </c>
      <c r="K53" s="62">
        <f>$E23</f>
        <v>0</v>
      </c>
      <c r="L53" s="62">
        <f t="shared" si="4"/>
        <v>0</v>
      </c>
      <c r="M53" s="62">
        <f t="shared" si="4"/>
        <v>0</v>
      </c>
      <c r="N53" s="62">
        <f t="shared" si="4"/>
        <v>0</v>
      </c>
      <c r="O53" s="62">
        <v>0</v>
      </c>
    </row>
    <row r="54" spans="2:15" x14ac:dyDescent="0.25">
      <c r="C54" s="62"/>
      <c r="H54" s="62"/>
      <c r="J54" s="62"/>
      <c r="K54" s="62"/>
      <c r="L54" s="62"/>
      <c r="M54" s="62"/>
      <c r="N54" s="62"/>
    </row>
    <row r="55" spans="2:15" x14ac:dyDescent="0.25">
      <c r="J55" s="70" t="s">
        <v>14</v>
      </c>
      <c r="K55" s="70">
        <f>SUM(K48:K53)</f>
        <v>21124.517589041097</v>
      </c>
      <c r="L55" s="70">
        <f t="shared" ref="L55:O55" si="5">SUM(L48:L53)</f>
        <v>23580.549089041095</v>
      </c>
      <c r="M55" s="70">
        <f t="shared" si="5"/>
        <v>23580.549089041095</v>
      </c>
      <c r="N55" s="70">
        <f t="shared" si="5"/>
        <v>16580.549089041095</v>
      </c>
      <c r="O55" s="70">
        <f t="shared" si="5"/>
        <v>23580.549089041095</v>
      </c>
    </row>
    <row r="57" spans="2:15" x14ac:dyDescent="0.25">
      <c r="B57" s="68" t="s">
        <v>119</v>
      </c>
      <c r="C57" s="68"/>
      <c r="D57" s="68"/>
      <c r="E57" s="68" t="s">
        <v>120</v>
      </c>
      <c r="F57" s="68"/>
      <c r="G57" s="68"/>
      <c r="H57" s="68"/>
      <c r="I57" s="68"/>
      <c r="J57" s="98" t="s">
        <v>196</v>
      </c>
      <c r="K57" s="99"/>
      <c r="L57" s="100"/>
      <c r="M57" s="101"/>
      <c r="N57" s="102"/>
    </row>
    <row r="58" spans="2:15" x14ac:dyDescent="0.25">
      <c r="B58" s="62"/>
      <c r="C58" s="69" t="s">
        <v>122</v>
      </c>
      <c r="D58" s="69"/>
      <c r="E58" s="69" t="s">
        <v>116</v>
      </c>
      <c r="F58" s="69"/>
      <c r="G58" s="69"/>
      <c r="H58" s="69"/>
      <c r="J58" s="103"/>
      <c r="K58" s="88"/>
      <c r="L58" s="88"/>
      <c r="M58" s="38"/>
      <c r="N58" s="39"/>
    </row>
    <row r="59" spans="2:15" x14ac:dyDescent="0.25">
      <c r="B59" s="62" t="s">
        <v>68</v>
      </c>
      <c r="C59" s="62">
        <f>SUMPRODUCT(K48:K53,C37:C42)/K55</f>
        <v>171.99901593485947</v>
      </c>
      <c r="E59" s="62">
        <f>SUMPRODUCT(C59:C63,M18:M22)</f>
        <v>3830115.3433070132</v>
      </c>
      <c r="F59" s="62"/>
      <c r="G59" s="62"/>
      <c r="H59" s="62"/>
      <c r="J59" s="104" t="s">
        <v>135</v>
      </c>
      <c r="K59" s="105" t="s">
        <v>136</v>
      </c>
      <c r="L59" s="88"/>
      <c r="M59" s="38"/>
      <c r="N59" s="39"/>
    </row>
    <row r="60" spans="2:15" x14ac:dyDescent="0.25">
      <c r="B60" s="62" t="s">
        <v>66</v>
      </c>
      <c r="C60" s="62">
        <f>SUMPRODUCT(L48:L53,D37:D42)/L55</f>
        <v>274.71519164105626</v>
      </c>
      <c r="E60" s="62"/>
      <c r="F60" s="62"/>
      <c r="G60" s="62"/>
      <c r="H60" s="62"/>
      <c r="J60" s="106">
        <f>M84</f>
        <v>2.1508189404125373E-2</v>
      </c>
      <c r="K60" s="107">
        <f>J60*E18</f>
        <v>49.468835629488353</v>
      </c>
      <c r="L60" s="107"/>
      <c r="M60" s="38"/>
      <c r="N60" s="39"/>
    </row>
    <row r="61" spans="2:15" x14ac:dyDescent="0.25">
      <c r="B61" s="62" t="s">
        <v>64</v>
      </c>
      <c r="C61" s="62">
        <f>SUMPRODUCT(M48:M53,E37:E42)/M55</f>
        <v>189.31519164105634</v>
      </c>
      <c r="E61" s="62"/>
      <c r="F61" s="62"/>
      <c r="G61" s="62"/>
      <c r="H61" s="62"/>
      <c r="J61" s="106">
        <f>M84</f>
        <v>2.1508189404125373E-2</v>
      </c>
      <c r="K61" s="107">
        <f t="shared" ref="K61:K65" si="6">J61*E19</f>
        <v>17.851797205424056</v>
      </c>
      <c r="L61" s="107"/>
      <c r="M61" s="38"/>
      <c r="N61" s="39"/>
    </row>
    <row r="62" spans="2:15" x14ac:dyDescent="0.25">
      <c r="B62" s="62" t="s">
        <v>96</v>
      </c>
      <c r="C62" s="62">
        <f>SUMPRODUCT(N48:N53,F37:F42)/N55</f>
        <v>138.11542256445267</v>
      </c>
      <c r="E62" s="62"/>
      <c r="F62" s="62"/>
      <c r="G62" s="62"/>
      <c r="H62" s="62"/>
      <c r="J62" s="106">
        <f>M84</f>
        <v>2.1508189404125373E-2</v>
      </c>
      <c r="K62" s="107">
        <f t="shared" si="6"/>
        <v>52.824790684498147</v>
      </c>
      <c r="L62" s="107"/>
      <c r="M62" s="88"/>
      <c r="N62" s="108"/>
    </row>
    <row r="63" spans="2:15" x14ac:dyDescent="0.25">
      <c r="B63" s="62" t="s">
        <v>77</v>
      </c>
      <c r="C63" s="62">
        <f>SUMPRODUCT(O48:O53,G37:G42)/O55</f>
        <v>233.35786379417584</v>
      </c>
      <c r="E63" s="62"/>
      <c r="F63" s="62"/>
      <c r="G63" s="62"/>
      <c r="H63" s="62"/>
      <c r="J63" s="106">
        <v>0</v>
      </c>
      <c r="K63" s="107">
        <f t="shared" si="6"/>
        <v>0</v>
      </c>
      <c r="L63" s="107"/>
      <c r="M63" s="88"/>
      <c r="N63" s="108"/>
    </row>
    <row r="64" spans="2:15" x14ac:dyDescent="0.25">
      <c r="B64" s="62"/>
      <c r="C64" s="62"/>
      <c r="E64" s="62"/>
      <c r="F64" s="62"/>
      <c r="G64" s="62"/>
      <c r="H64" s="62"/>
      <c r="J64" s="106">
        <f>M84</f>
        <v>2.1508189404125373E-2</v>
      </c>
      <c r="K64" s="107">
        <f t="shared" si="6"/>
        <v>236.47216671208372</v>
      </c>
      <c r="L64" s="107"/>
      <c r="M64" s="88"/>
      <c r="N64" s="108"/>
    </row>
    <row r="65" spans="1:17" x14ac:dyDescent="0.25">
      <c r="B65" s="62"/>
      <c r="C65" s="62"/>
      <c r="E65" s="62"/>
      <c r="F65" s="62"/>
      <c r="G65" s="62"/>
      <c r="H65" s="62"/>
      <c r="J65" s="106">
        <f>M84</f>
        <v>2.1508189404125373E-2</v>
      </c>
      <c r="K65" s="107">
        <f t="shared" si="6"/>
        <v>0</v>
      </c>
      <c r="L65" s="107"/>
      <c r="M65" s="88"/>
      <c r="N65" s="108"/>
    </row>
    <row r="66" spans="1:17" x14ac:dyDescent="0.25">
      <c r="A66" s="90"/>
      <c r="B66" s="90"/>
      <c r="C66" s="90"/>
      <c r="D66" s="90"/>
      <c r="E66" s="90"/>
      <c r="F66" s="90"/>
      <c r="G66" s="90"/>
      <c r="H66" s="90"/>
      <c r="I66" s="90"/>
      <c r="J66" s="106"/>
      <c r="K66" s="107"/>
      <c r="L66" s="107"/>
      <c r="M66" s="88"/>
      <c r="N66" s="108"/>
      <c r="O66" s="88"/>
      <c r="P66" s="90"/>
      <c r="Q66" s="97"/>
    </row>
    <row r="67" spans="1:17" x14ac:dyDescent="0.25">
      <c r="I67" s="93"/>
      <c r="J67" s="103"/>
      <c r="K67" s="109">
        <f>SUM(K60:K65)</f>
        <v>356.61759023149426</v>
      </c>
      <c r="L67" s="88"/>
      <c r="M67" s="88"/>
      <c r="N67" s="108"/>
      <c r="O67" s="88"/>
    </row>
    <row r="68" spans="1:17" x14ac:dyDescent="0.25">
      <c r="I68" s="90"/>
      <c r="J68" s="103"/>
      <c r="K68" s="88"/>
      <c r="L68" s="88"/>
      <c r="M68" s="88"/>
      <c r="N68" s="108"/>
      <c r="O68" s="90"/>
    </row>
    <row r="69" spans="1:17" x14ac:dyDescent="0.25">
      <c r="J69" s="103"/>
      <c r="K69" s="88"/>
      <c r="L69" s="88"/>
      <c r="M69" s="88"/>
      <c r="N69" s="108"/>
      <c r="O69" s="90"/>
    </row>
    <row r="70" spans="1:17" x14ac:dyDescent="0.25">
      <c r="J70" s="110" t="s">
        <v>197</v>
      </c>
      <c r="K70" s="111"/>
      <c r="L70" s="88"/>
      <c r="M70" s="88"/>
      <c r="N70" s="108"/>
      <c r="O70" s="90"/>
    </row>
    <row r="71" spans="1:17" x14ac:dyDescent="0.25">
      <c r="J71" s="103"/>
      <c r="K71" s="88"/>
      <c r="L71" s="88"/>
      <c r="M71" s="88"/>
      <c r="N71" s="108"/>
      <c r="O71" s="90"/>
    </row>
    <row r="72" spans="1:17" x14ac:dyDescent="0.25">
      <c r="J72" s="104" t="s">
        <v>149</v>
      </c>
      <c r="K72" s="105" t="s">
        <v>150</v>
      </c>
      <c r="L72" s="88"/>
      <c r="M72" s="88"/>
      <c r="N72" s="108"/>
      <c r="O72" s="90"/>
    </row>
    <row r="73" spans="1:17" x14ac:dyDescent="0.25">
      <c r="J73" s="106">
        <f>M84</f>
        <v>2.1508189404125373E-2</v>
      </c>
      <c r="K73" s="107">
        <f>J73*M18</f>
        <v>3.1186874635981789</v>
      </c>
      <c r="L73" s="107"/>
      <c r="M73" s="88"/>
      <c r="N73" s="108"/>
      <c r="O73" s="90"/>
    </row>
    <row r="74" spans="1:17" x14ac:dyDescent="0.25">
      <c r="J74" s="106">
        <f>M84</f>
        <v>2.1508189404125373E-2</v>
      </c>
      <c r="K74" s="107">
        <f t="shared" ref="K74:K77" si="7">J74*M19</f>
        <v>2.1508189404125374E-5</v>
      </c>
      <c r="L74" s="107"/>
      <c r="M74" s="88"/>
      <c r="N74" s="108"/>
      <c r="O74" s="90"/>
    </row>
    <row r="75" spans="1:17" x14ac:dyDescent="0.25">
      <c r="J75" s="106">
        <f>M84</f>
        <v>2.1508189404125373E-2</v>
      </c>
      <c r="K75" s="107">
        <f t="shared" si="7"/>
        <v>78.056804045804995</v>
      </c>
      <c r="L75" s="107"/>
      <c r="M75" s="88"/>
      <c r="N75" s="108"/>
      <c r="O75" s="90"/>
    </row>
    <row r="76" spans="1:17" x14ac:dyDescent="0.25">
      <c r="A76" s="90"/>
      <c r="B76" s="94"/>
      <c r="C76" s="94"/>
      <c r="D76" s="94"/>
      <c r="J76" s="106">
        <v>0</v>
      </c>
      <c r="K76" s="107">
        <f t="shared" si="7"/>
        <v>0</v>
      </c>
      <c r="L76" s="107"/>
      <c r="M76" s="88"/>
      <c r="N76" s="108"/>
      <c r="O76" s="90"/>
    </row>
    <row r="77" spans="1:17" x14ac:dyDescent="0.25">
      <c r="A77" s="90"/>
      <c r="B77" s="94"/>
      <c r="C77" s="94"/>
      <c r="D77" s="94"/>
      <c r="J77" s="106">
        <f>M84</f>
        <v>2.1508189404125373E-2</v>
      </c>
      <c r="K77" s="107">
        <f t="shared" si="7"/>
        <v>236.47216671208372</v>
      </c>
      <c r="L77" s="107"/>
      <c r="M77" s="88"/>
      <c r="N77" s="108"/>
      <c r="O77" s="90"/>
    </row>
    <row r="78" spans="1:17" x14ac:dyDescent="0.25">
      <c r="A78" s="90"/>
      <c r="B78" s="95"/>
      <c r="C78" s="95"/>
      <c r="D78" s="95"/>
      <c r="J78" s="106"/>
      <c r="K78" s="107"/>
      <c r="L78" s="107"/>
      <c r="M78" s="88"/>
      <c r="N78" s="108"/>
      <c r="O78" s="90"/>
    </row>
    <row r="79" spans="1:17" x14ac:dyDescent="0.25">
      <c r="A79" s="90"/>
      <c r="J79" s="103"/>
      <c r="K79" s="109">
        <f>SUM(K73:K77)</f>
        <v>317.64767972967627</v>
      </c>
      <c r="L79" s="88"/>
      <c r="M79" s="88"/>
      <c r="N79" s="108"/>
      <c r="O79" s="90"/>
    </row>
    <row r="80" spans="1:17" x14ac:dyDescent="0.25">
      <c r="A80" s="90"/>
      <c r="J80" s="113"/>
      <c r="K80" s="38"/>
      <c r="L80" s="38"/>
      <c r="M80" s="88"/>
      <c r="N80" s="108"/>
      <c r="O80" s="90"/>
    </row>
    <row r="81" spans="1:15" x14ac:dyDescent="0.25">
      <c r="A81" s="90"/>
      <c r="H81" s="90"/>
      <c r="J81" s="113"/>
      <c r="K81" s="38"/>
      <c r="L81" s="38"/>
      <c r="M81" s="88"/>
      <c r="N81" s="108"/>
      <c r="O81" s="90"/>
    </row>
    <row r="82" spans="1:15" x14ac:dyDescent="0.25">
      <c r="A82" s="90"/>
      <c r="H82" s="90"/>
      <c r="J82" s="114"/>
      <c r="K82" s="115"/>
      <c r="L82" s="115"/>
      <c r="M82" s="115"/>
      <c r="N82" s="116"/>
      <c r="O82" s="90"/>
    </row>
    <row r="83" spans="1:15" x14ac:dyDescent="0.25">
      <c r="A83" s="90"/>
      <c r="B83" s="90"/>
      <c r="C83" s="90"/>
      <c r="D83" s="90"/>
      <c r="E83" s="112"/>
      <c r="F83" s="90"/>
      <c r="G83" s="90"/>
      <c r="H83" s="90"/>
      <c r="J83" s="114"/>
      <c r="K83" s="115" t="s">
        <v>30</v>
      </c>
      <c r="L83" s="115"/>
      <c r="M83" s="115" t="s">
        <v>198</v>
      </c>
      <c r="N83" s="116"/>
      <c r="O83" s="90"/>
    </row>
    <row r="84" spans="1:15" x14ac:dyDescent="0.25">
      <c r="A84" s="90"/>
      <c r="B84" s="90"/>
      <c r="C84" s="90"/>
      <c r="D84" s="90"/>
      <c r="E84" s="90"/>
      <c r="F84" s="90"/>
      <c r="G84" s="90"/>
      <c r="H84" s="90"/>
      <c r="J84" s="114" t="s">
        <v>199</v>
      </c>
      <c r="K84" s="115">
        <f>'20. Current tariff method 23'!B20</f>
        <v>21.508189404125371</v>
      </c>
      <c r="L84" s="115"/>
      <c r="M84" s="115">
        <f>K84*10^(-3)</f>
        <v>2.1508189404125373E-2</v>
      </c>
      <c r="N84" s="116"/>
      <c r="O84" s="90"/>
    </row>
    <row r="85" spans="1:15" x14ac:dyDescent="0.25">
      <c r="A85" s="90"/>
      <c r="B85" s="90"/>
      <c r="C85" s="90"/>
      <c r="D85" s="90"/>
      <c r="E85" s="90"/>
      <c r="F85" s="90"/>
      <c r="G85" s="90"/>
      <c r="H85" s="90"/>
      <c r="J85" s="117"/>
      <c r="K85" s="118"/>
      <c r="L85" s="118"/>
      <c r="M85" s="118"/>
      <c r="N85" s="119"/>
      <c r="O85" s="90"/>
    </row>
    <row r="86" spans="1:15" x14ac:dyDescent="0.25">
      <c r="A86" s="90"/>
      <c r="B86" s="93"/>
      <c r="C86" s="93"/>
      <c r="D86" s="93"/>
      <c r="E86" s="93"/>
      <c r="F86" s="93"/>
      <c r="G86" s="93"/>
      <c r="H86" s="90"/>
      <c r="O86" s="90"/>
    </row>
    <row r="87" spans="1:15" x14ac:dyDescent="0.25">
      <c r="B87" s="68" t="s">
        <v>152</v>
      </c>
      <c r="J87" s="68" t="s">
        <v>153</v>
      </c>
    </row>
    <row r="88" spans="1:15" x14ac:dyDescent="0.25">
      <c r="B88" s="69" t="s">
        <v>154</v>
      </c>
      <c r="C88" s="69" t="s">
        <v>155</v>
      </c>
      <c r="D88" s="69" t="s">
        <v>156</v>
      </c>
      <c r="E88" s="69" t="s">
        <v>156</v>
      </c>
      <c r="F88" s="69" t="s">
        <v>155</v>
      </c>
      <c r="G88" s="69" t="s">
        <v>156</v>
      </c>
      <c r="J88" s="75" t="s">
        <v>157</v>
      </c>
      <c r="K88" s="75"/>
      <c r="L88" s="75"/>
    </row>
    <row r="89" spans="1:15" x14ac:dyDescent="0.25">
      <c r="B89" s="62"/>
      <c r="C89" s="62" t="s">
        <v>64</v>
      </c>
      <c r="D89" s="62" t="s">
        <v>68</v>
      </c>
      <c r="E89" s="62" t="s">
        <v>66</v>
      </c>
      <c r="F89" s="62" t="s">
        <v>96</v>
      </c>
      <c r="G89" s="62" t="s">
        <v>77</v>
      </c>
      <c r="J89" s="74"/>
      <c r="K89" s="69" t="s">
        <v>158</v>
      </c>
      <c r="L89" s="69" t="s">
        <v>159</v>
      </c>
      <c r="N89" s="53">
        <f>SUM(K90:K95)</f>
        <v>796.57760786455492</v>
      </c>
    </row>
    <row r="90" spans="1:15" x14ac:dyDescent="0.25">
      <c r="B90" s="69" t="s">
        <v>160</v>
      </c>
      <c r="C90" s="62">
        <f>M20</f>
        <v>3629.1666666666665</v>
      </c>
      <c r="D90" s="62">
        <f>M18</f>
        <v>145</v>
      </c>
      <c r="E90" s="62">
        <f>M19</f>
        <v>1E-3</v>
      </c>
      <c r="F90" s="62">
        <f>M21</f>
        <v>4000</v>
      </c>
      <c r="G90" s="62">
        <f>M22</f>
        <v>10994.517589041096</v>
      </c>
      <c r="J90" s="76" t="s">
        <v>70</v>
      </c>
      <c r="K90" s="62">
        <f>(E37*K39+F37*K40)/SUM(K39,K40)</f>
        <v>141.65920262151829</v>
      </c>
      <c r="L90" s="62">
        <f>(C37*K37+D37*K38+G37*K41)/SUM(K37,K38,K41)</f>
        <v>241.78684455778054</v>
      </c>
      <c r="N90" s="53">
        <f>SUM(L90:L95)</f>
        <v>1350.0136028478878</v>
      </c>
    </row>
    <row r="91" spans="1:15" x14ac:dyDescent="0.25">
      <c r="B91" s="69" t="s">
        <v>161</v>
      </c>
      <c r="C91" s="62">
        <f>C90*C61</f>
        <v>687056.38299733365</v>
      </c>
      <c r="D91" s="62">
        <f>D90*C59</f>
        <v>24939.857310554624</v>
      </c>
      <c r="E91" s="62">
        <f>E90*C60</f>
        <v>0.27471519164105629</v>
      </c>
      <c r="F91" s="62">
        <f>F90*C62</f>
        <v>552461.69025781064</v>
      </c>
      <c r="G91" s="62">
        <f>G90*C63</f>
        <v>2565657.1380261225</v>
      </c>
      <c r="J91" s="76" t="s">
        <v>73</v>
      </c>
      <c r="K91" s="62">
        <f>(E38*L39+F38*L40)/SUM(L39,L40)</f>
        <v>84.859202621518307</v>
      </c>
      <c r="L91" s="62">
        <f>(C38*L37+D38*L38+G38*L41)/SUM(L37,L38,L41)</f>
        <v>184.98684455778053</v>
      </c>
    </row>
    <row r="92" spans="1:15" x14ac:dyDescent="0.25">
      <c r="J92" s="76" t="s">
        <v>68</v>
      </c>
      <c r="K92" s="62">
        <f>(E39*M39+F39*M40)/SUM(M39,M40)</f>
        <v>177.85920262151831</v>
      </c>
      <c r="L92" s="62">
        <f>(C39*M37+D39*M38+G39*M41)/SUM(M37,M38,M41)</f>
        <v>193.20001076900266</v>
      </c>
    </row>
    <row r="93" spans="1:15" x14ac:dyDescent="0.25">
      <c r="C93" s="62" t="s">
        <v>162</v>
      </c>
      <c r="J93" s="76" t="s">
        <v>96</v>
      </c>
      <c r="K93" s="62">
        <f>(E40*N39+F40*N40)/SUM(N39,N40)</f>
        <v>92.2</v>
      </c>
      <c r="L93" s="62">
        <f>(C40*N37+D40*N38+G40*N41)/SUM(N37,N38,N41)</f>
        <v>145.05421563894174</v>
      </c>
    </row>
    <row r="94" spans="1:15" x14ac:dyDescent="0.25">
      <c r="C94" s="62"/>
      <c r="J94" s="76" t="s">
        <v>79</v>
      </c>
      <c r="K94" s="62">
        <f>(E41*O39+F41*O40)/SUM(O39,O40)</f>
        <v>198.65920262151829</v>
      </c>
      <c r="L94" s="62">
        <f>(C41*O37+D41*O38+G41*O41)/SUM(O37,O38,O41)</f>
        <v>298.78684455778057</v>
      </c>
    </row>
    <row r="95" spans="1:15" x14ac:dyDescent="0.25">
      <c r="C95" s="62"/>
      <c r="J95" s="76" t="s">
        <v>77</v>
      </c>
      <c r="K95" s="62">
        <f>(E42*P39+F42*P40)/SUM(P39,P40)</f>
        <v>101.3407973784817</v>
      </c>
      <c r="L95" s="62">
        <f>(C42*P37+D42*P38+G42*P41)/SUM(P37,P38,P41)</f>
        <v>286.19884276660162</v>
      </c>
    </row>
    <row r="96" spans="1:15" x14ac:dyDescent="0.25">
      <c r="B96" s="68" t="s">
        <v>163</v>
      </c>
      <c r="J96" s="68" t="s">
        <v>164</v>
      </c>
      <c r="K96" s="62"/>
      <c r="L96" s="62"/>
    </row>
    <row r="97" spans="2:12" ht="45.75" x14ac:dyDescent="0.25">
      <c r="C97" s="76" t="s">
        <v>165</v>
      </c>
      <c r="D97" s="76" t="s">
        <v>166</v>
      </c>
      <c r="E97" s="76" t="s">
        <v>167</v>
      </c>
      <c r="F97" s="76" t="s">
        <v>168</v>
      </c>
      <c r="G97" s="76" t="s">
        <v>169</v>
      </c>
      <c r="J97" s="76" t="s">
        <v>170</v>
      </c>
      <c r="K97" s="62">
        <f>SUMPRODUCT(C98:C103,J60:J65)</f>
        <v>168.46716590704779</v>
      </c>
      <c r="L97" s="62"/>
    </row>
    <row r="98" spans="2:12" ht="45.75" x14ac:dyDescent="0.25">
      <c r="B98" s="76" t="s">
        <v>70</v>
      </c>
      <c r="C98" s="62">
        <f>SUM($D$90,$E$90,$G$90)/SUM($E$18:$E$23)*E18</f>
        <v>1086.5265544940878</v>
      </c>
      <c r="D98" s="62" t="s">
        <v>171</v>
      </c>
      <c r="E98" s="62">
        <f>E18-C98</f>
        <v>1213.4734455059122</v>
      </c>
      <c r="F98" s="62">
        <f>C98*L90</f>
        <v>262707.82713936287</v>
      </c>
      <c r="G98" s="62">
        <f>E98*K90</f>
        <v>171899.68069275396</v>
      </c>
      <c r="J98" s="76" t="s">
        <v>172</v>
      </c>
      <c r="K98" s="62">
        <f>K67-K97</f>
        <v>188.15042432444648</v>
      </c>
      <c r="L98" s="62"/>
    </row>
    <row r="99" spans="2:12" ht="45.75" x14ac:dyDescent="0.25">
      <c r="B99" s="76" t="s">
        <v>73</v>
      </c>
      <c r="C99" s="62">
        <f t="shared" ref="C99:C103" si="8">SUM($D$90,$E$90,$G$90)/SUM($E$18:$E$23)*E19</f>
        <v>392.0943653174316</v>
      </c>
      <c r="D99" s="62" t="s">
        <v>171</v>
      </c>
      <c r="E99" s="62">
        <f t="shared" ref="E99:E103" si="9">E19-C99</f>
        <v>437.90563468256829</v>
      </c>
      <c r="F99" s="62">
        <f t="shared" ref="F99:F103" si="10">C99*L91</f>
        <v>72532.299408957333</v>
      </c>
      <c r="G99" s="62">
        <f t="shared" ref="G99:G103" si="11">E99*K91</f>
        <v>37160.322982632635</v>
      </c>
      <c r="J99" s="76" t="s">
        <v>173</v>
      </c>
      <c r="K99" s="62">
        <f>D90*J73+E90*J74+G90*J77</f>
        <v>239.5908756838713</v>
      </c>
      <c r="L99" s="62"/>
    </row>
    <row r="100" spans="2:12" ht="45.75" x14ac:dyDescent="0.25">
      <c r="B100" s="76" t="s">
        <v>68</v>
      </c>
      <c r="C100" s="62">
        <f t="shared" si="8"/>
        <v>1160.2362797495418</v>
      </c>
      <c r="D100" s="62" t="s">
        <v>171</v>
      </c>
      <c r="E100" s="62">
        <f t="shared" si="9"/>
        <v>1295.7952202504582</v>
      </c>
      <c r="F100" s="62">
        <f t="shared" si="10"/>
        <v>224157.66174219907</v>
      </c>
      <c r="G100" s="62">
        <f t="shared" si="11"/>
        <v>230469.10463452118</v>
      </c>
      <c r="J100" s="76" t="s">
        <v>174</v>
      </c>
      <c r="K100" s="62">
        <f>K79-K99</f>
        <v>78.056804045804967</v>
      </c>
      <c r="L100" s="62"/>
    </row>
    <row r="101" spans="2:12" ht="23.25" x14ac:dyDescent="0.25">
      <c r="B101" s="76" t="s">
        <v>96</v>
      </c>
      <c r="C101" s="62">
        <f t="shared" si="8"/>
        <v>3306.8199484602669</v>
      </c>
      <c r="D101" s="62" t="s">
        <v>171</v>
      </c>
      <c r="E101" s="62">
        <f t="shared" si="9"/>
        <v>3693.1800515397331</v>
      </c>
      <c r="F101" s="62">
        <f t="shared" si="10"/>
        <v>479668.17388310976</v>
      </c>
      <c r="G101" s="62">
        <f t="shared" si="11"/>
        <v>340511.20075196342</v>
      </c>
      <c r="H101" s="69"/>
      <c r="J101" s="76" t="s">
        <v>175</v>
      </c>
      <c r="K101" s="62">
        <f>K98+K100</f>
        <v>266.20722837025141</v>
      </c>
      <c r="L101" s="62"/>
    </row>
    <row r="102" spans="2:12" ht="23.25" x14ac:dyDescent="0.25">
      <c r="B102" s="76" t="s">
        <v>79</v>
      </c>
      <c r="C102" s="62">
        <f t="shared" si="8"/>
        <v>5193.8414410197684</v>
      </c>
      <c r="D102" s="62" t="s">
        <v>171</v>
      </c>
      <c r="E102" s="62">
        <f t="shared" si="9"/>
        <v>5800.6761480213272</v>
      </c>
      <c r="F102" s="62">
        <f t="shared" si="10"/>
        <v>1551851.4952957325</v>
      </c>
      <c r="G102" s="62">
        <f t="shared" si="11"/>
        <v>1152357.6982315772</v>
      </c>
      <c r="H102" s="69"/>
      <c r="J102" s="76" t="s">
        <v>176</v>
      </c>
      <c r="K102" s="62">
        <f>K97+K99</f>
        <v>408.05804159091906</v>
      </c>
      <c r="L102" s="62"/>
    </row>
    <row r="103" spans="2:12" x14ac:dyDescent="0.25">
      <c r="B103" s="76" t="s">
        <v>77</v>
      </c>
      <c r="C103" s="62">
        <f t="shared" si="8"/>
        <v>0</v>
      </c>
      <c r="D103" s="62" t="s">
        <v>171</v>
      </c>
      <c r="E103" s="62">
        <f t="shared" si="9"/>
        <v>0</v>
      </c>
      <c r="F103" s="62">
        <f t="shared" si="10"/>
        <v>0</v>
      </c>
      <c r="G103" s="62">
        <f t="shared" si="11"/>
        <v>0</v>
      </c>
      <c r="H103" s="69"/>
      <c r="J103" s="76"/>
      <c r="K103" s="62"/>
      <c r="L103" s="62"/>
    </row>
    <row r="104" spans="2:12" x14ac:dyDescent="0.25">
      <c r="B104" s="76"/>
      <c r="C104" s="62"/>
      <c r="D104" s="62"/>
      <c r="E104" s="62"/>
      <c r="F104" s="62"/>
      <c r="G104" s="62"/>
      <c r="L104" s="62"/>
    </row>
    <row r="105" spans="2:12" x14ac:dyDescent="0.25">
      <c r="B105" s="76" t="s">
        <v>177</v>
      </c>
      <c r="C105" s="62">
        <f>SUM(C98:C103)</f>
        <v>11139.518589041098</v>
      </c>
      <c r="D105" s="62"/>
      <c r="E105" s="62">
        <f>SUM(E98:E103)</f>
        <v>12441.030499999999</v>
      </c>
      <c r="F105" s="62">
        <f>SUM(F98:F103)</f>
        <v>2590917.4574693618</v>
      </c>
      <c r="G105" s="62">
        <f>SUM(G98:G103)</f>
        <v>1932398.0072934483</v>
      </c>
    </row>
    <row r="106" spans="2:12" x14ac:dyDescent="0.25">
      <c r="B106" s="76"/>
      <c r="C106" s="62"/>
      <c r="D106" s="62"/>
      <c r="E106" s="62"/>
      <c r="F106" s="62"/>
      <c r="G106" s="62"/>
    </row>
    <row r="107" spans="2:12" ht="23.25" x14ac:dyDescent="0.25">
      <c r="B107" s="76" t="s">
        <v>178</v>
      </c>
      <c r="C107" s="62">
        <f>SUM(D90,E90,G90)</f>
        <v>11139.518589041096</v>
      </c>
      <c r="D107" s="62"/>
      <c r="E107" s="62"/>
      <c r="F107" s="62"/>
      <c r="G107" s="62"/>
    </row>
    <row r="108" spans="2:12" x14ac:dyDescent="0.25">
      <c r="B108" s="76"/>
    </row>
    <row r="109" spans="2:12" x14ac:dyDescent="0.25">
      <c r="B109" s="76"/>
    </row>
    <row r="110" spans="2:12" x14ac:dyDescent="0.25">
      <c r="B110" s="68" t="s">
        <v>179</v>
      </c>
      <c r="J110" s="68" t="s">
        <v>180</v>
      </c>
    </row>
    <row r="111" spans="2:12" ht="34.5" x14ac:dyDescent="0.25">
      <c r="B111" s="76" t="s">
        <v>169</v>
      </c>
      <c r="C111" s="78"/>
      <c r="D111" s="62">
        <f>G105</f>
        <v>1932398.0072934483</v>
      </c>
      <c r="E111" s="62"/>
      <c r="J111" s="79" t="s">
        <v>181</v>
      </c>
      <c r="K111" s="80"/>
      <c r="L111" s="81"/>
    </row>
    <row r="112" spans="2:12" ht="34.5" x14ac:dyDescent="0.25">
      <c r="B112" s="76" t="s">
        <v>182</v>
      </c>
      <c r="C112" s="78"/>
      <c r="D112" s="62">
        <f>C91+F91</f>
        <v>1239518.0732551443</v>
      </c>
      <c r="E112" s="62"/>
      <c r="J112" s="82" t="s">
        <v>183</v>
      </c>
      <c r="K112" s="83">
        <f>K101*10^6/D113</f>
        <v>83.926315075842126</v>
      </c>
      <c r="L112" s="84" t="s">
        <v>184</v>
      </c>
    </row>
    <row r="113" spans="2:12" ht="23.25" x14ac:dyDescent="0.25">
      <c r="B113" s="76" t="s">
        <v>185</v>
      </c>
      <c r="C113" s="78"/>
      <c r="D113" s="62">
        <f>SUM(D111:D112)</f>
        <v>3171916.0805485928</v>
      </c>
      <c r="E113" s="62"/>
      <c r="J113" s="82" t="s">
        <v>186</v>
      </c>
      <c r="K113" s="83">
        <f>K102*10^6/D116</f>
        <v>78.752654976265745</v>
      </c>
      <c r="L113" s="84" t="s">
        <v>187</v>
      </c>
    </row>
    <row r="114" spans="2:12" ht="34.5" x14ac:dyDescent="0.25">
      <c r="B114" s="76" t="s">
        <v>188</v>
      </c>
      <c r="C114" s="78"/>
      <c r="D114" s="62">
        <f>F105</f>
        <v>2590917.4574693618</v>
      </c>
      <c r="E114" s="62"/>
      <c r="J114" s="82" t="s">
        <v>189</v>
      </c>
      <c r="K114" s="85">
        <f>2*(ABS(K112-K113))/(K112+K113)</f>
        <v>6.3605764136805146E-2</v>
      </c>
      <c r="L114" s="84" t="s">
        <v>190</v>
      </c>
    </row>
    <row r="115" spans="2:12" ht="34.5" x14ac:dyDescent="0.25">
      <c r="B115" s="76" t="s">
        <v>191</v>
      </c>
      <c r="C115" s="78"/>
      <c r="D115" s="62">
        <f>SUM(D91,E91,G91)</f>
        <v>2590597.2700518686</v>
      </c>
      <c r="E115" s="62"/>
    </row>
    <row r="116" spans="2:12" ht="34.5" x14ac:dyDescent="0.25">
      <c r="B116" s="76" t="s">
        <v>192</v>
      </c>
      <c r="C116" s="78"/>
      <c r="D116" s="62">
        <f>SUM(D114:D115)</f>
        <v>5181514.7275212305</v>
      </c>
      <c r="E116" s="62"/>
    </row>
    <row r="117" spans="2:12" x14ac:dyDescent="0.25">
      <c r="D117" s="62"/>
      <c r="E117" s="62"/>
    </row>
    <row r="118" spans="2:12" x14ac:dyDescent="0.25">
      <c r="D118" s="62"/>
      <c r="E118" s="62"/>
    </row>
    <row r="123" spans="2:12" x14ac:dyDescent="0.25">
      <c r="E123" s="62"/>
    </row>
  </sheetData>
  <conditionalFormatting sqref="K114">
    <cfRule type="cellIs" dxfId="21" priority="1" operator="lessThan">
      <formula>0.1</formula>
    </cfRule>
    <cfRule type="cellIs" dxfId="20" priority="2" operator="greaterThan">
      <formula>0.1</formula>
    </cfRule>
  </conditionalFormatting>
  <dataValidations count="1">
    <dataValidation type="list" allowBlank="1" showInputMessage="1" showErrorMessage="1" sqref="F12" xr:uid="{00000000-0002-0000-1900-000000000000}">
      <formula1>"Nybro (P1),New entry point (BP1)"</formula1>
    </dataValidation>
  </dataValidation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FF0000"/>
  </sheetPr>
  <dimension ref="A1:R126"/>
  <sheetViews>
    <sheetView topLeftCell="A88" workbookViewId="0">
      <selection activeCell="A25" sqref="A25"/>
    </sheetView>
  </sheetViews>
  <sheetFormatPr defaultColWidth="9.140625" defaultRowHeight="15" x14ac:dyDescent="0.25"/>
  <cols>
    <col min="1" max="2" width="9.140625" style="53"/>
    <col min="3" max="3" width="9.42578125" style="53" bestFit="1" customWidth="1"/>
    <col min="4" max="6" width="10" style="53" bestFit="1" customWidth="1"/>
    <col min="7" max="7" width="10.5703125" style="53" bestFit="1" customWidth="1"/>
    <col min="8" max="9" width="9.140625" style="53"/>
    <col min="10" max="10" width="17.140625" style="53" customWidth="1"/>
    <col min="11" max="16" width="9.42578125" style="53" bestFit="1" customWidth="1"/>
    <col min="17"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Capacities'!E16*10^(-3)</f>
        <v>2300</v>
      </c>
      <c r="F18" s="61"/>
      <c r="G18" s="60"/>
      <c r="H18" s="60"/>
      <c r="I18" s="60"/>
      <c r="J18" s="61" t="s">
        <v>68</v>
      </c>
      <c r="K18" s="61">
        <v>56.8</v>
      </c>
      <c r="L18" s="61">
        <v>0</v>
      </c>
      <c r="M18" s="61">
        <f>'Forecasted Capacities'!E13*10^(-3)</f>
        <v>145</v>
      </c>
      <c r="N18" s="64"/>
      <c r="R18" s="62"/>
    </row>
    <row r="19" spans="1:18" x14ac:dyDescent="0.25">
      <c r="B19" s="61" t="s">
        <v>73</v>
      </c>
      <c r="C19" s="61">
        <v>56.8</v>
      </c>
      <c r="D19" s="61">
        <v>93</v>
      </c>
      <c r="E19" s="61">
        <f>'Forecasted Capacities'!E18*10^(-3)</f>
        <v>829.99999999999989</v>
      </c>
      <c r="F19" s="61"/>
      <c r="G19" s="60"/>
      <c r="H19" s="60"/>
      <c r="I19" s="60"/>
      <c r="J19" s="61" t="s">
        <v>66</v>
      </c>
      <c r="K19" s="61">
        <v>275.39999999999998</v>
      </c>
      <c r="L19" s="61">
        <v>93</v>
      </c>
      <c r="M19" s="61">
        <f>'Forecasted Capacities'!E12*10^(-3)</f>
        <v>1E-3</v>
      </c>
      <c r="N19" s="61"/>
      <c r="R19" s="62"/>
    </row>
    <row r="20" spans="1:18" x14ac:dyDescent="0.25">
      <c r="B20" s="61" t="s">
        <v>68</v>
      </c>
      <c r="C20" s="61">
        <v>56.8</v>
      </c>
      <c r="D20" s="61">
        <v>0</v>
      </c>
      <c r="E20" s="61">
        <f>'Forecasted Capacities'!E17*10^(-3)</f>
        <v>2456.0315000000001</v>
      </c>
      <c r="F20" s="61"/>
      <c r="G20" s="60"/>
      <c r="H20" s="60"/>
      <c r="I20" s="60"/>
      <c r="J20" s="61" t="s">
        <v>64</v>
      </c>
      <c r="K20" s="61">
        <v>190</v>
      </c>
      <c r="L20" s="61">
        <v>93</v>
      </c>
      <c r="M20" s="61">
        <f>'Forecasted Capacities'!E11*10^(-3)</f>
        <v>3629.1666666666665</v>
      </c>
      <c r="N20" s="61"/>
      <c r="R20" s="62"/>
    </row>
    <row r="21" spans="1:18" x14ac:dyDescent="0.25">
      <c r="B21" s="61" t="s">
        <v>96</v>
      </c>
      <c r="C21" s="61">
        <v>97.8</v>
      </c>
      <c r="D21" s="61">
        <v>93</v>
      </c>
      <c r="E21" s="61">
        <f>'Forecasted Capacities'!E22*10^(-3)</f>
        <v>7000</v>
      </c>
      <c r="F21" s="61"/>
      <c r="G21" s="60"/>
      <c r="H21" s="60"/>
      <c r="I21" s="60"/>
      <c r="J21" s="61" t="s">
        <v>96</v>
      </c>
      <c r="K21" s="61">
        <v>97.8</v>
      </c>
      <c r="L21" s="61">
        <v>93</v>
      </c>
      <c r="M21" s="61">
        <f>'Forecasted Capacities'!E21*10^(-3)</f>
        <v>4000</v>
      </c>
      <c r="N21" s="61"/>
      <c r="R21" s="62"/>
    </row>
    <row r="22" spans="1:18" x14ac:dyDescent="0.25">
      <c r="B22" s="61" t="s">
        <v>79</v>
      </c>
      <c r="C22" s="233">
        <v>0</v>
      </c>
      <c r="D22" s="233">
        <v>150</v>
      </c>
      <c r="E22" s="61">
        <f>'Forecasted Capacities'!E19*10^(-3)</f>
        <v>10994.517589041096</v>
      </c>
      <c r="F22" s="60"/>
      <c r="G22" s="60"/>
      <c r="H22" s="60"/>
      <c r="I22" s="60"/>
      <c r="J22" s="61" t="s">
        <v>77</v>
      </c>
      <c r="K22" s="233">
        <v>200</v>
      </c>
      <c r="L22" s="233">
        <v>50</v>
      </c>
      <c r="M22" s="61">
        <f>'Forecasted Capacities'!E14*10^(-3)</f>
        <v>10994.517589041096</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23580.549089041095</v>
      </c>
      <c r="F24" s="60"/>
      <c r="G24" s="60"/>
      <c r="H24" s="60"/>
      <c r="I24" s="60"/>
      <c r="J24" s="60"/>
      <c r="K24" s="60"/>
      <c r="L24" s="60"/>
      <c r="M24" s="65">
        <f>SUM(M18:M22)</f>
        <v>18768.685255707762</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'20. Current tariff method 23'!B13+'20. Current tariff method 23'!B14</f>
        <v>963.23609994452931</v>
      </c>
      <c r="F26" s="60"/>
      <c r="G26" s="60"/>
      <c r="H26" s="60"/>
      <c r="I26" s="60"/>
      <c r="J26" s="60"/>
      <c r="K26" s="60"/>
      <c r="L26" s="60"/>
      <c r="M26" s="60"/>
      <c r="N26" s="60"/>
    </row>
    <row r="27" spans="1:18" x14ac:dyDescent="0.25">
      <c r="A27" s="63" t="s">
        <v>99</v>
      </c>
      <c r="B27" s="60"/>
      <c r="C27" s="61" t="s">
        <v>100</v>
      </c>
      <c r="D27" s="60"/>
      <c r="E27" s="61">
        <f>'20. Current tariff method 23'!B14</f>
        <v>674.26526996117047</v>
      </c>
      <c r="F27" s="60"/>
      <c r="G27" s="60"/>
      <c r="H27" s="60"/>
      <c r="I27" s="60"/>
      <c r="J27" s="60"/>
      <c r="K27" s="60"/>
      <c r="L27" s="60"/>
      <c r="M27" s="60"/>
      <c r="N27" s="60"/>
    </row>
    <row r="28" spans="1:18" x14ac:dyDescent="0.25">
      <c r="A28" s="63" t="s">
        <v>101</v>
      </c>
      <c r="B28" s="60"/>
      <c r="C28" s="61" t="s">
        <v>102</v>
      </c>
      <c r="D28" s="61"/>
      <c r="E28" s="61">
        <v>0.5</v>
      </c>
      <c r="F28" s="60"/>
      <c r="G28" s="60"/>
      <c r="H28" s="60"/>
      <c r="I28" s="60"/>
      <c r="J28" s="60"/>
      <c r="K28" s="60"/>
      <c r="L28" s="60"/>
      <c r="M28" s="60"/>
      <c r="N28" s="60"/>
    </row>
    <row r="29" spans="1:18" x14ac:dyDescent="0.25">
      <c r="A29" s="63" t="s">
        <v>101</v>
      </c>
      <c r="B29" s="60"/>
      <c r="C29" s="61" t="s">
        <v>103</v>
      </c>
      <c r="D29" s="61"/>
      <c r="E29" s="61">
        <f>E27*E28</f>
        <v>337.13263498058524</v>
      </c>
      <c r="F29" s="60"/>
      <c r="G29" s="60"/>
      <c r="H29" s="60"/>
      <c r="I29" s="60"/>
      <c r="J29" s="60"/>
      <c r="K29" s="60"/>
      <c r="L29" s="60"/>
      <c r="N29" s="60"/>
    </row>
    <row r="30" spans="1:18" x14ac:dyDescent="0.25">
      <c r="B30" s="60"/>
      <c r="C30" s="61" t="s">
        <v>104</v>
      </c>
      <c r="D30" s="61"/>
      <c r="E30" s="61">
        <f>E27*(1-E28)</f>
        <v>337.13263498058524</v>
      </c>
      <c r="F30" s="60"/>
      <c r="G30" s="60"/>
      <c r="H30" s="60"/>
      <c r="I30" s="60"/>
      <c r="J30" s="60"/>
      <c r="K30" s="60"/>
      <c r="L30" s="60"/>
      <c r="M30" s="60"/>
      <c r="N30" s="60"/>
    </row>
    <row r="31" spans="1:18" x14ac:dyDescent="0.25">
      <c r="B31" s="60"/>
      <c r="C31" s="61" t="s">
        <v>105</v>
      </c>
      <c r="D31" s="60"/>
      <c r="E31" s="61">
        <f>'20. Current tariff method 23'!B13</f>
        <v>288.97082998335884</v>
      </c>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 t="shared" ref="K37:L41" si="0">$M18</f>
        <v>145</v>
      </c>
      <c r="L37" s="62">
        <f t="shared" si="0"/>
        <v>145</v>
      </c>
      <c r="M37" s="62">
        <v>0</v>
      </c>
      <c r="N37" s="62">
        <f>$M18</f>
        <v>145</v>
      </c>
      <c r="O37" s="62">
        <f t="shared" ref="O37:P41" si="1">$M18</f>
        <v>145</v>
      </c>
      <c r="P37" s="62">
        <f t="shared" si="1"/>
        <v>145</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1E-3</v>
      </c>
      <c r="L38" s="62">
        <f t="shared" si="0"/>
        <v>1E-3</v>
      </c>
      <c r="M38" s="62">
        <f>$M19</f>
        <v>1E-3</v>
      </c>
      <c r="N38" s="62">
        <f>$M19</f>
        <v>1E-3</v>
      </c>
      <c r="O38" s="62">
        <f t="shared" si="1"/>
        <v>1E-3</v>
      </c>
      <c r="P38" s="62">
        <f t="shared" si="1"/>
        <v>1E-3</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3629.1666666666665</v>
      </c>
      <c r="L39" s="62">
        <f t="shared" si="0"/>
        <v>3629.1666666666665</v>
      </c>
      <c r="M39" s="62">
        <f>$M20</f>
        <v>3629.1666666666665</v>
      </c>
      <c r="N39" s="62">
        <f>$M20</f>
        <v>3629.1666666666665</v>
      </c>
      <c r="O39" s="62">
        <f t="shared" si="1"/>
        <v>3629.1666666666665</v>
      </c>
      <c r="P39" s="62">
        <f t="shared" si="1"/>
        <v>3629.1666666666665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4000</v>
      </c>
      <c r="L40" s="62">
        <f t="shared" si="0"/>
        <v>4000</v>
      </c>
      <c r="M40" s="62">
        <f>$M21</f>
        <v>4000</v>
      </c>
      <c r="N40" s="62">
        <v>0</v>
      </c>
      <c r="O40" s="62">
        <f t="shared" si="1"/>
        <v>4000</v>
      </c>
      <c r="P40" s="62">
        <f t="shared" si="1"/>
        <v>4000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10994.517589041096</v>
      </c>
      <c r="L41" s="62">
        <f t="shared" si="0"/>
        <v>10994.517589041096</v>
      </c>
      <c r="M41" s="62">
        <f>$M22</f>
        <v>10994.517589041096</v>
      </c>
      <c r="N41" s="62">
        <f>$M22</f>
        <v>10994.517589041096</v>
      </c>
      <c r="O41" s="62">
        <f t="shared" si="1"/>
        <v>10994.517589041096</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18768.685255707762</v>
      </c>
      <c r="L43" s="70">
        <f t="shared" ref="L43:P43" si="2">SUM(L37:L41)</f>
        <v>18768.685255707762</v>
      </c>
      <c r="M43" s="70">
        <f t="shared" si="2"/>
        <v>18623.685255707762</v>
      </c>
      <c r="N43" s="70">
        <f t="shared" si="2"/>
        <v>14768.685255707762</v>
      </c>
      <c r="O43" s="70">
        <f>SUM(O37:O41)</f>
        <v>18768.685255707762</v>
      </c>
      <c r="P43" s="70">
        <f t="shared" si="2"/>
        <v>7774.1676666666663</v>
      </c>
    </row>
    <row r="45" spans="1:16" x14ac:dyDescent="0.25">
      <c r="B45" s="68" t="s">
        <v>110</v>
      </c>
      <c r="C45" s="68"/>
      <c r="D45" s="68"/>
      <c r="E45" s="68" t="s">
        <v>111</v>
      </c>
      <c r="F45" s="68"/>
      <c r="G45" s="68"/>
      <c r="H45" s="68"/>
      <c r="I45" s="68"/>
      <c r="J45" s="68" t="s">
        <v>113</v>
      </c>
      <c r="K45" s="68"/>
    </row>
    <row r="46" spans="1:16" x14ac:dyDescent="0.25">
      <c r="A46" s="63" t="s">
        <v>114</v>
      </c>
      <c r="B46" s="62"/>
      <c r="C46" s="69" t="s">
        <v>115</v>
      </c>
      <c r="D46" s="69"/>
      <c r="E46" s="69" t="s">
        <v>116</v>
      </c>
      <c r="F46" s="62"/>
      <c r="G46" s="62"/>
      <c r="H46" s="69"/>
      <c r="I46" s="62"/>
      <c r="J46" s="69" t="s">
        <v>118</v>
      </c>
      <c r="K46" s="69" t="s">
        <v>8</v>
      </c>
    </row>
    <row r="47" spans="1:16" x14ac:dyDescent="0.25">
      <c r="B47" s="62" t="s">
        <v>70</v>
      </c>
      <c r="C47" s="62">
        <f>MMULT(C37:G37,K37:K41)/K43</f>
        <v>201.0865793093258</v>
      </c>
      <c r="D47" s="62"/>
      <c r="E47" s="62">
        <f>SUMPRODUCT(C47:C52,E18:E23)</f>
        <v>4803328.2032902185</v>
      </c>
      <c r="F47" s="62"/>
      <c r="G47" s="62"/>
      <c r="H47" s="62"/>
      <c r="I47" s="62"/>
      <c r="J47" s="69" t="s">
        <v>26</v>
      </c>
      <c r="K47" s="62" t="s">
        <v>68</v>
      </c>
      <c r="L47" s="62" t="s">
        <v>66</v>
      </c>
      <c r="M47" s="62" t="s">
        <v>64</v>
      </c>
      <c r="N47" s="62" t="s">
        <v>96</v>
      </c>
      <c r="O47" s="62" t="s">
        <v>77</v>
      </c>
    </row>
    <row r="48" spans="1:16" x14ac:dyDescent="0.25">
      <c r="B48" s="62" t="s">
        <v>73</v>
      </c>
      <c r="C48" s="62">
        <f>MMULT(C38:G38,L37:L41)/L43</f>
        <v>144.28657930932582</v>
      </c>
      <c r="D48" s="62"/>
      <c r="E48" s="62"/>
      <c r="F48" s="62"/>
      <c r="G48" s="62"/>
      <c r="H48" s="62"/>
      <c r="I48" s="62"/>
      <c r="J48" s="62" t="s">
        <v>70</v>
      </c>
      <c r="K48" s="62">
        <f t="shared" ref="K48:O49" si="3">$E18</f>
        <v>2300</v>
      </c>
      <c r="L48" s="62">
        <f t="shared" si="3"/>
        <v>2300</v>
      </c>
      <c r="M48" s="62">
        <f t="shared" si="3"/>
        <v>2300</v>
      </c>
      <c r="N48" s="62">
        <f t="shared" si="3"/>
        <v>2300</v>
      </c>
      <c r="O48" s="62">
        <f t="shared" si="3"/>
        <v>2300</v>
      </c>
    </row>
    <row r="49" spans="2:15" x14ac:dyDescent="0.25">
      <c r="B49" s="62" t="s">
        <v>68</v>
      </c>
      <c r="C49" s="62">
        <f>MMULT(C39:G39,M37:M41)/M43</f>
        <v>186.91567012688154</v>
      </c>
      <c r="D49" s="62"/>
      <c r="E49" s="62"/>
      <c r="F49" s="62"/>
      <c r="G49" s="62"/>
      <c r="H49" s="62"/>
      <c r="I49" s="62"/>
      <c r="J49" s="62" t="s">
        <v>73</v>
      </c>
      <c r="K49" s="62">
        <f t="shared" si="3"/>
        <v>829.99999999999989</v>
      </c>
      <c r="L49" s="62">
        <f t="shared" si="3"/>
        <v>829.99999999999989</v>
      </c>
      <c r="M49" s="62">
        <f t="shared" si="3"/>
        <v>829.99999999999989</v>
      </c>
      <c r="N49" s="62">
        <f t="shared" si="3"/>
        <v>829.99999999999989</v>
      </c>
      <c r="O49" s="62">
        <f t="shared" si="3"/>
        <v>829.99999999999989</v>
      </c>
    </row>
    <row r="50" spans="2:15" x14ac:dyDescent="0.25">
      <c r="B50" s="62" t="s">
        <v>96</v>
      </c>
      <c r="C50" s="62">
        <f>MMULT(C40:G40,N37:N41)/N43</f>
        <v>132.06614295213799</v>
      </c>
      <c r="D50" s="62"/>
      <c r="E50" s="62"/>
      <c r="F50" s="62"/>
      <c r="G50" s="62"/>
      <c r="H50" s="62"/>
      <c r="I50" s="62"/>
      <c r="J50" s="62" t="s">
        <v>68</v>
      </c>
      <c r="K50" s="62">
        <v>0</v>
      </c>
      <c r="L50" s="62">
        <f>$E20</f>
        <v>2456.0315000000001</v>
      </c>
      <c r="M50" s="62">
        <f>$E20</f>
        <v>2456.0315000000001</v>
      </c>
      <c r="N50" s="62">
        <f>$E20</f>
        <v>2456.0315000000001</v>
      </c>
      <c r="O50" s="62">
        <f>$E20</f>
        <v>2456.0315000000001</v>
      </c>
    </row>
    <row r="51" spans="2:15" x14ac:dyDescent="0.25">
      <c r="B51" s="62" t="s">
        <v>79</v>
      </c>
      <c r="C51" s="62">
        <f>MMULT(C41:G41,O37:O41)/O43</f>
        <v>258.08657930932583</v>
      </c>
      <c r="H51" s="62"/>
      <c r="J51" s="62" t="s">
        <v>96</v>
      </c>
      <c r="K51" s="62">
        <f>$E21</f>
        <v>7000</v>
      </c>
      <c r="L51" s="62">
        <f>$E21</f>
        <v>7000</v>
      </c>
      <c r="M51" s="62">
        <f>$E21</f>
        <v>7000</v>
      </c>
      <c r="N51" s="62">
        <v>0</v>
      </c>
      <c r="O51" s="62">
        <f>$E21</f>
        <v>7000</v>
      </c>
    </row>
    <row r="52" spans="2:15" x14ac:dyDescent="0.25">
      <c r="B52" s="62" t="s">
        <v>77</v>
      </c>
      <c r="C52" s="62">
        <f>MMULT(C42:G42,P37:P41)/P43</f>
        <v>104.78870364814617</v>
      </c>
      <c r="H52" s="62"/>
      <c r="J52" s="62" t="s">
        <v>79</v>
      </c>
      <c r="K52" s="62">
        <f>$E22</f>
        <v>10994.517589041096</v>
      </c>
      <c r="L52" s="62">
        <f t="shared" ref="L52:O53" si="4">$E22</f>
        <v>10994.517589041096</v>
      </c>
      <c r="M52" s="62">
        <f t="shared" si="4"/>
        <v>10994.517589041096</v>
      </c>
      <c r="N52" s="62">
        <f t="shared" si="4"/>
        <v>10994.517589041096</v>
      </c>
      <c r="O52" s="62">
        <f t="shared" si="4"/>
        <v>10994.517589041096</v>
      </c>
    </row>
    <row r="53" spans="2:15" x14ac:dyDescent="0.25">
      <c r="C53" s="62"/>
      <c r="H53" s="62"/>
      <c r="J53" s="62" t="s">
        <v>77</v>
      </c>
      <c r="K53" s="62">
        <f>$E23</f>
        <v>0</v>
      </c>
      <c r="L53" s="62">
        <f t="shared" si="4"/>
        <v>0</v>
      </c>
      <c r="M53" s="62">
        <f t="shared" si="4"/>
        <v>0</v>
      </c>
      <c r="N53" s="62">
        <f t="shared" si="4"/>
        <v>0</v>
      </c>
      <c r="O53" s="62">
        <v>0</v>
      </c>
    </row>
    <row r="54" spans="2:15" x14ac:dyDescent="0.25">
      <c r="C54" s="62"/>
      <c r="H54" s="62"/>
      <c r="J54" s="62"/>
      <c r="K54" s="62"/>
      <c r="L54" s="62"/>
      <c r="M54" s="62"/>
      <c r="N54" s="62"/>
    </row>
    <row r="55" spans="2:15" x14ac:dyDescent="0.25">
      <c r="J55" s="70" t="s">
        <v>14</v>
      </c>
      <c r="K55" s="70">
        <f>SUM(K48:K53)</f>
        <v>21124.517589041097</v>
      </c>
      <c r="L55" s="70">
        <f t="shared" ref="L55:O55" si="5">SUM(L48:L53)</f>
        <v>23580.549089041095</v>
      </c>
      <c r="M55" s="70">
        <f t="shared" si="5"/>
        <v>23580.549089041095</v>
      </c>
      <c r="N55" s="70">
        <f t="shared" si="5"/>
        <v>16580.549089041095</v>
      </c>
      <c r="O55" s="70">
        <f t="shared" si="5"/>
        <v>23580.549089041095</v>
      </c>
    </row>
    <row r="57" spans="2:15" x14ac:dyDescent="0.25">
      <c r="B57" s="68" t="s">
        <v>119</v>
      </c>
      <c r="C57" s="68"/>
      <c r="D57" s="68"/>
      <c r="E57" s="68" t="s">
        <v>120</v>
      </c>
      <c r="F57" s="68"/>
      <c r="G57" s="68"/>
      <c r="H57" s="68"/>
      <c r="I57" s="68"/>
      <c r="J57" s="98" t="s">
        <v>196</v>
      </c>
      <c r="K57" s="99"/>
      <c r="L57" s="100"/>
      <c r="M57" s="101"/>
      <c r="N57" s="102"/>
    </row>
    <row r="58" spans="2:15" x14ac:dyDescent="0.25">
      <c r="B58" s="62"/>
      <c r="C58" s="69" t="s">
        <v>122</v>
      </c>
      <c r="D58" s="69"/>
      <c r="E58" s="69" t="s">
        <v>116</v>
      </c>
      <c r="F58" s="69"/>
      <c r="G58" s="69"/>
      <c r="H58" s="69"/>
      <c r="J58" s="103"/>
      <c r="K58" s="88"/>
      <c r="L58" s="88"/>
      <c r="M58" s="38"/>
      <c r="N58" s="39"/>
    </row>
    <row r="59" spans="2:15" x14ac:dyDescent="0.25">
      <c r="B59" s="62" t="s">
        <v>68</v>
      </c>
      <c r="C59" s="62">
        <f>SUMPRODUCT(K48:K53,C37:C42)/K55</f>
        <v>171.99901593485947</v>
      </c>
      <c r="E59" s="62">
        <f>SUMPRODUCT(C59:C63,M18:M22)</f>
        <v>3830115.3433070132</v>
      </c>
      <c r="F59" s="62"/>
      <c r="G59" s="62"/>
      <c r="H59" s="62"/>
      <c r="J59" s="104" t="s">
        <v>135</v>
      </c>
      <c r="K59" s="105" t="s">
        <v>136</v>
      </c>
      <c r="L59" s="88"/>
      <c r="M59" s="38"/>
      <c r="N59" s="39"/>
    </row>
    <row r="60" spans="2:15" x14ac:dyDescent="0.25">
      <c r="B60" s="62" t="s">
        <v>66</v>
      </c>
      <c r="C60" s="62">
        <f>SUMPRODUCT(L48:L53,D37:D42)/L55</f>
        <v>274.71519164105626</v>
      </c>
      <c r="E60" s="62"/>
      <c r="F60" s="62"/>
      <c r="G60" s="62"/>
      <c r="H60" s="62"/>
      <c r="J60" s="106">
        <f>M85</f>
        <v>2.0586074375469644E-2</v>
      </c>
      <c r="K60" s="107">
        <f>J60*E18</f>
        <v>47.347971063580182</v>
      </c>
      <c r="L60" s="107"/>
      <c r="M60" s="38"/>
      <c r="N60" s="39"/>
    </row>
    <row r="61" spans="2:15" x14ac:dyDescent="0.25">
      <c r="B61" s="62" t="s">
        <v>64</v>
      </c>
      <c r="C61" s="62">
        <f>SUMPRODUCT(M48:M53,E37:E42)/M55</f>
        <v>189.31519164105634</v>
      </c>
      <c r="E61" s="62"/>
      <c r="F61" s="62"/>
      <c r="G61" s="62"/>
      <c r="H61" s="62"/>
      <c r="J61" s="106">
        <f>M85</f>
        <v>2.0586074375469644E-2</v>
      </c>
      <c r="K61" s="107">
        <f t="shared" ref="K61:K65" si="6">J61*E19</f>
        <v>17.086441731639802</v>
      </c>
      <c r="L61" s="107"/>
      <c r="M61" s="38"/>
      <c r="N61" s="39"/>
    </row>
    <row r="62" spans="2:15" x14ac:dyDescent="0.25">
      <c r="B62" s="62" t="s">
        <v>96</v>
      </c>
      <c r="C62" s="62">
        <f>SUMPRODUCT(N48:N53,F37:F42)/N55</f>
        <v>138.11542256445267</v>
      </c>
      <c r="E62" s="62"/>
      <c r="F62" s="62"/>
      <c r="G62" s="62"/>
      <c r="H62" s="62"/>
      <c r="J62" s="106">
        <f>M84</f>
        <v>2.3427597791845257E-2</v>
      </c>
      <c r="K62" s="107">
        <f t="shared" si="6"/>
        <v>57.538918146102397</v>
      </c>
      <c r="L62" s="107"/>
      <c r="M62" s="88"/>
      <c r="N62" s="108"/>
    </row>
    <row r="63" spans="2:15" x14ac:dyDescent="0.25">
      <c r="B63" s="62" t="s">
        <v>77</v>
      </c>
      <c r="C63" s="62">
        <f>SUMPRODUCT(O48:O53,G37:G42)/O55</f>
        <v>233.35786379417584</v>
      </c>
      <c r="E63" s="62"/>
      <c r="F63" s="62"/>
      <c r="G63" s="62"/>
      <c r="H63" s="62"/>
      <c r="J63" s="106">
        <v>0</v>
      </c>
      <c r="K63" s="107">
        <f t="shared" si="6"/>
        <v>0</v>
      </c>
      <c r="L63" s="107"/>
      <c r="M63" s="88"/>
      <c r="N63" s="108"/>
    </row>
    <row r="64" spans="2:15" x14ac:dyDescent="0.25">
      <c r="B64" s="62"/>
      <c r="C64" s="62"/>
      <c r="E64" s="62"/>
      <c r="F64" s="62"/>
      <c r="G64" s="62"/>
      <c r="H64" s="62"/>
      <c r="J64" s="106">
        <f>M88</f>
        <v>2.0586074375469644E-2</v>
      </c>
      <c r="K64" s="107">
        <f t="shared" si="6"/>
        <v>226.33395681040918</v>
      </c>
      <c r="L64" s="107"/>
      <c r="M64" s="88"/>
      <c r="N64" s="108"/>
    </row>
    <row r="65" spans="1:17" x14ac:dyDescent="0.25">
      <c r="B65" s="62"/>
      <c r="C65" s="62"/>
      <c r="E65" s="62"/>
      <c r="F65" s="62"/>
      <c r="G65" s="62"/>
      <c r="H65" s="62"/>
      <c r="J65" s="106">
        <f>M88</f>
        <v>2.0586074375469644E-2</v>
      </c>
      <c r="K65" s="107">
        <f t="shared" si="6"/>
        <v>0</v>
      </c>
      <c r="L65" s="107"/>
      <c r="M65" s="88"/>
      <c r="N65" s="108"/>
    </row>
    <row r="66" spans="1:17" x14ac:dyDescent="0.25">
      <c r="A66" s="90"/>
      <c r="B66" s="90"/>
      <c r="C66" s="90"/>
      <c r="D66" s="90"/>
      <c r="E66" s="90"/>
      <c r="F66" s="90"/>
      <c r="G66" s="90"/>
      <c r="H66" s="90"/>
      <c r="I66" s="90"/>
      <c r="J66" s="106"/>
      <c r="K66" s="107"/>
      <c r="L66" s="107"/>
      <c r="M66" s="88"/>
      <c r="N66" s="108"/>
      <c r="O66" s="88"/>
      <c r="P66" s="90"/>
      <c r="Q66" s="97"/>
    </row>
    <row r="67" spans="1:17" x14ac:dyDescent="0.25">
      <c r="I67" s="93"/>
      <c r="J67" s="103"/>
      <c r="K67" s="109">
        <f>SUM(K60:K65)</f>
        <v>348.30728775173156</v>
      </c>
      <c r="L67" s="88"/>
      <c r="M67" s="88"/>
      <c r="N67" s="108"/>
      <c r="O67" s="88"/>
    </row>
    <row r="68" spans="1:17" x14ac:dyDescent="0.25">
      <c r="I68" s="90"/>
      <c r="J68" s="103"/>
      <c r="K68" s="88"/>
      <c r="L68" s="88"/>
      <c r="M68" s="88"/>
      <c r="N68" s="108"/>
      <c r="O68" s="90"/>
    </row>
    <row r="69" spans="1:17" x14ac:dyDescent="0.25">
      <c r="J69" s="103"/>
      <c r="K69" s="88"/>
      <c r="L69" s="88"/>
      <c r="M69" s="88"/>
      <c r="N69" s="108"/>
      <c r="O69" s="90"/>
    </row>
    <row r="70" spans="1:17" x14ac:dyDescent="0.25">
      <c r="J70" s="110" t="s">
        <v>197</v>
      </c>
      <c r="K70" s="111"/>
      <c r="L70" s="88"/>
      <c r="M70" s="88"/>
      <c r="N70" s="108"/>
      <c r="O70" s="90"/>
    </row>
    <row r="71" spans="1:17" x14ac:dyDescent="0.25">
      <c r="J71" s="103"/>
      <c r="K71" s="88"/>
      <c r="L71" s="88"/>
      <c r="M71" s="88"/>
      <c r="N71" s="108"/>
      <c r="O71" s="90"/>
    </row>
    <row r="72" spans="1:17" x14ac:dyDescent="0.25">
      <c r="J72" s="104" t="s">
        <v>149</v>
      </c>
      <c r="K72" s="105" t="s">
        <v>150</v>
      </c>
      <c r="L72" s="88"/>
      <c r="M72" s="88"/>
      <c r="N72" s="108"/>
      <c r="O72" s="90"/>
    </row>
    <row r="73" spans="1:17" x14ac:dyDescent="0.25">
      <c r="J73" s="106">
        <f>M86</f>
        <v>2.0586074375469644E-2</v>
      </c>
      <c r="K73" s="107">
        <f>J73*M18</f>
        <v>2.9849807844430982</v>
      </c>
      <c r="L73" s="107"/>
      <c r="M73" s="88"/>
      <c r="N73" s="108"/>
      <c r="O73" s="90"/>
    </row>
    <row r="74" spans="1:17" x14ac:dyDescent="0.25">
      <c r="J74" s="106">
        <f>M87</f>
        <v>2.6628432051294042E-2</v>
      </c>
      <c r="K74" s="107">
        <f t="shared" ref="K74:K77" si="7">J74*M19</f>
        <v>2.6628432051294043E-5</v>
      </c>
      <c r="L74" s="107"/>
      <c r="M74" s="88"/>
      <c r="N74" s="108"/>
      <c r="O74" s="90"/>
    </row>
    <row r="75" spans="1:17" x14ac:dyDescent="0.25">
      <c r="J75" s="106">
        <f>M87</f>
        <v>2.6628432051294042E-2</v>
      </c>
      <c r="K75" s="107">
        <f t="shared" si="7"/>
        <v>96.639017986154627</v>
      </c>
      <c r="L75" s="107"/>
      <c r="M75" s="88"/>
      <c r="N75" s="108"/>
      <c r="O75" s="90"/>
    </row>
    <row r="76" spans="1:17" x14ac:dyDescent="0.25">
      <c r="A76" s="90"/>
      <c r="B76" s="94"/>
      <c r="C76" s="94"/>
      <c r="D76" s="94"/>
      <c r="J76" s="106">
        <v>0</v>
      </c>
      <c r="K76" s="107">
        <f t="shared" si="7"/>
        <v>0</v>
      </c>
      <c r="L76" s="107"/>
      <c r="M76" s="88"/>
      <c r="N76" s="108"/>
      <c r="O76" s="90"/>
    </row>
    <row r="77" spans="1:17" x14ac:dyDescent="0.25">
      <c r="A77" s="90"/>
      <c r="B77" s="94"/>
      <c r="C77" s="94"/>
      <c r="D77" s="94"/>
      <c r="J77" s="106">
        <f>M88</f>
        <v>2.0586074375469644E-2</v>
      </c>
      <c r="K77" s="107">
        <f t="shared" si="7"/>
        <v>226.33395681040918</v>
      </c>
      <c r="L77" s="107"/>
      <c r="M77" s="88"/>
      <c r="N77" s="108"/>
      <c r="O77" s="90"/>
    </row>
    <row r="78" spans="1:17" x14ac:dyDescent="0.25">
      <c r="A78" s="90"/>
      <c r="B78" s="95"/>
      <c r="C78" s="95"/>
      <c r="D78" s="95"/>
      <c r="J78" s="106"/>
      <c r="K78" s="107"/>
      <c r="L78" s="107"/>
      <c r="M78" s="88"/>
      <c r="N78" s="108"/>
      <c r="O78" s="90"/>
    </row>
    <row r="79" spans="1:17" x14ac:dyDescent="0.25">
      <c r="A79" s="90"/>
      <c r="J79" s="103"/>
      <c r="K79" s="109">
        <f>SUM(K73:K77)</f>
        <v>325.95798220943897</v>
      </c>
      <c r="L79" s="88"/>
      <c r="M79" s="88"/>
      <c r="N79" s="108"/>
      <c r="O79" s="90"/>
    </row>
    <row r="80" spans="1:17" x14ac:dyDescent="0.25">
      <c r="A80" s="90"/>
      <c r="J80" s="113"/>
      <c r="K80" s="38"/>
      <c r="L80" s="38"/>
      <c r="M80" s="88"/>
      <c r="N80" s="108"/>
      <c r="O80" s="90"/>
    </row>
    <row r="81" spans="1:15" x14ac:dyDescent="0.25">
      <c r="A81" s="90"/>
      <c r="H81" s="90"/>
      <c r="J81" s="113"/>
      <c r="K81" s="38"/>
      <c r="L81" s="38"/>
      <c r="M81" s="88"/>
      <c r="N81" s="108"/>
      <c r="O81" s="90"/>
    </row>
    <row r="82" spans="1:15" x14ac:dyDescent="0.25">
      <c r="A82" s="90"/>
      <c r="H82" s="90"/>
      <c r="J82" s="114"/>
      <c r="K82" s="115"/>
      <c r="L82" s="115"/>
      <c r="M82" s="115"/>
      <c r="N82" s="116"/>
      <c r="O82" s="90"/>
    </row>
    <row r="83" spans="1:15" x14ac:dyDescent="0.25">
      <c r="A83" s="90"/>
      <c r="B83" s="90"/>
      <c r="C83" s="90"/>
      <c r="D83" s="90"/>
      <c r="E83" s="112"/>
      <c r="F83" s="90"/>
      <c r="G83" s="90"/>
      <c r="H83" s="90"/>
      <c r="J83" s="114"/>
      <c r="K83" s="115" t="s">
        <v>30</v>
      </c>
      <c r="L83" s="115"/>
      <c r="M83" s="115" t="s">
        <v>198</v>
      </c>
      <c r="N83" s="116"/>
      <c r="O83" s="90"/>
    </row>
    <row r="84" spans="1:15" x14ac:dyDescent="0.25">
      <c r="A84" s="90"/>
      <c r="B84" s="90"/>
      <c r="C84" s="90"/>
      <c r="D84" s="90"/>
      <c r="E84" s="90"/>
      <c r="F84" s="90"/>
      <c r="G84" s="90"/>
      <c r="H84" s="90"/>
      <c r="J84" s="114" t="s">
        <v>71</v>
      </c>
      <c r="K84" s="115">
        <f>'20. Current tariff method 23'!C20</f>
        <v>23.427597791845258</v>
      </c>
      <c r="L84" s="115"/>
      <c r="M84" s="115">
        <f>K84*10^(-3)</f>
        <v>2.3427597791845257E-2</v>
      </c>
      <c r="N84" s="116"/>
      <c r="O84" s="90"/>
    </row>
    <row r="85" spans="1:15" x14ac:dyDescent="0.25">
      <c r="A85" s="90"/>
      <c r="B85" s="90"/>
      <c r="C85" s="90"/>
      <c r="D85" s="90"/>
      <c r="E85" s="90"/>
      <c r="F85" s="90"/>
      <c r="G85" s="90"/>
      <c r="H85" s="90"/>
      <c r="J85" s="114" t="s">
        <v>201</v>
      </c>
      <c r="K85" s="115">
        <f>'20. Current tariff method 23'!F20</f>
        <v>20.586074375469643</v>
      </c>
      <c r="L85" s="115"/>
      <c r="M85" s="115">
        <f t="shared" ref="M85:M88" si="8">K85*10^(-3)</f>
        <v>2.0586074375469644E-2</v>
      </c>
      <c r="N85" s="116"/>
      <c r="O85" s="90"/>
    </row>
    <row r="86" spans="1:15" x14ac:dyDescent="0.25">
      <c r="A86" s="90"/>
      <c r="B86" s="90"/>
      <c r="C86" s="90"/>
      <c r="D86" s="90"/>
      <c r="E86" s="90"/>
      <c r="F86" s="90"/>
      <c r="G86" s="90"/>
      <c r="H86" s="90"/>
      <c r="J86" s="114" t="s">
        <v>67</v>
      </c>
      <c r="K86" s="115">
        <f>'20. Current tariff method 23'!F20</f>
        <v>20.586074375469643</v>
      </c>
      <c r="L86" s="115"/>
      <c r="M86" s="115">
        <f t="shared" si="8"/>
        <v>2.0586074375469644E-2</v>
      </c>
      <c r="N86" s="116"/>
      <c r="O86" s="90"/>
    </row>
    <row r="87" spans="1:15" x14ac:dyDescent="0.25">
      <c r="A87" s="90"/>
      <c r="B87" s="90"/>
      <c r="C87" s="90"/>
      <c r="D87" s="90"/>
      <c r="E87" s="90"/>
      <c r="F87" s="90"/>
      <c r="G87" s="90"/>
      <c r="H87" s="90"/>
      <c r="J87" s="114" t="s">
        <v>202</v>
      </c>
      <c r="K87" s="115">
        <f>'20. Current tariff method 23'!D20</f>
        <v>26.628432051294041</v>
      </c>
      <c r="L87" s="115"/>
      <c r="M87" s="115">
        <f t="shared" si="8"/>
        <v>2.6628432051294042E-2</v>
      </c>
      <c r="N87" s="116"/>
      <c r="O87" s="90"/>
    </row>
    <row r="88" spans="1:15" x14ac:dyDescent="0.25">
      <c r="A88" s="90"/>
      <c r="B88" s="90"/>
      <c r="C88" s="90"/>
      <c r="D88" s="90"/>
      <c r="E88" s="90"/>
      <c r="F88" s="90"/>
      <c r="G88" s="90"/>
      <c r="H88" s="90"/>
      <c r="J88" s="117" t="s">
        <v>262</v>
      </c>
      <c r="K88" s="118">
        <f>'20. Current tariff method 23'!F20</f>
        <v>20.586074375469643</v>
      </c>
      <c r="L88" s="118"/>
      <c r="M88" s="115">
        <f t="shared" si="8"/>
        <v>2.0586074375469644E-2</v>
      </c>
      <c r="N88" s="119"/>
      <c r="O88" s="90"/>
    </row>
    <row r="89" spans="1:15" x14ac:dyDescent="0.25">
      <c r="A89" s="90"/>
      <c r="B89" s="93"/>
      <c r="C89" s="93"/>
      <c r="D89" s="93"/>
      <c r="E89" s="93"/>
      <c r="F89" s="93"/>
      <c r="G89" s="93"/>
      <c r="H89" s="90"/>
      <c r="O89" s="90"/>
    </row>
    <row r="90" spans="1:15" x14ac:dyDescent="0.25">
      <c r="B90" s="68" t="s">
        <v>152</v>
      </c>
      <c r="J90" s="68" t="s">
        <v>153</v>
      </c>
    </row>
    <row r="91" spans="1:15" x14ac:dyDescent="0.25">
      <c r="B91" s="69" t="s">
        <v>154</v>
      </c>
      <c r="C91" s="69" t="s">
        <v>155</v>
      </c>
      <c r="D91" s="69" t="s">
        <v>156</v>
      </c>
      <c r="E91" s="69" t="s">
        <v>156</v>
      </c>
      <c r="F91" s="69" t="s">
        <v>155</v>
      </c>
      <c r="G91" s="69" t="s">
        <v>156</v>
      </c>
      <c r="J91" s="75" t="s">
        <v>157</v>
      </c>
      <c r="K91" s="75"/>
      <c r="L91" s="75"/>
    </row>
    <row r="92" spans="1:15" x14ac:dyDescent="0.25">
      <c r="B92" s="62"/>
      <c r="C92" s="62" t="s">
        <v>64</v>
      </c>
      <c r="D92" s="62" t="s">
        <v>68</v>
      </c>
      <c r="E92" s="62" t="s">
        <v>66</v>
      </c>
      <c r="F92" s="62" t="s">
        <v>96</v>
      </c>
      <c r="G92" s="62" t="s">
        <v>77</v>
      </c>
      <c r="J92" s="74"/>
      <c r="K92" s="69" t="s">
        <v>158</v>
      </c>
      <c r="L92" s="69" t="s">
        <v>159</v>
      </c>
    </row>
    <row r="93" spans="1:15" x14ac:dyDescent="0.25">
      <c r="B93" s="69" t="s">
        <v>160</v>
      </c>
      <c r="C93" s="62">
        <f>M20</f>
        <v>3629.1666666666665</v>
      </c>
      <c r="D93" s="62">
        <f>M18</f>
        <v>145</v>
      </c>
      <c r="E93" s="62">
        <f>M19</f>
        <v>1E-3</v>
      </c>
      <c r="F93" s="62">
        <f>M21</f>
        <v>4000</v>
      </c>
      <c r="G93" s="62">
        <f>M22</f>
        <v>10994.517589041096</v>
      </c>
      <c r="J93" s="76" t="s">
        <v>70</v>
      </c>
      <c r="K93" s="62">
        <f>(E37*K39+F37*K40)/SUM(K39,K40)</f>
        <v>141.65920262151829</v>
      </c>
      <c r="L93" s="62">
        <f>(C37*K37+D37*K38+G37*K41)/SUM(K37,K38,K41)</f>
        <v>241.78684455778054</v>
      </c>
    </row>
    <row r="94" spans="1:15" x14ac:dyDescent="0.25">
      <c r="B94" s="69" t="s">
        <v>161</v>
      </c>
      <c r="C94" s="62">
        <f>C93*C61</f>
        <v>687056.38299733365</v>
      </c>
      <c r="D94" s="62">
        <f>D93*C59</f>
        <v>24939.857310554624</v>
      </c>
      <c r="E94" s="62">
        <f>E93*C60</f>
        <v>0.27471519164105629</v>
      </c>
      <c r="F94" s="62">
        <f>F93*C62</f>
        <v>552461.69025781064</v>
      </c>
      <c r="G94" s="62">
        <f>G93*C63</f>
        <v>2565657.1380261225</v>
      </c>
      <c r="J94" s="76" t="s">
        <v>73</v>
      </c>
      <c r="K94" s="62">
        <f>(E38*L39+F38*L40)/SUM(L39,L40)</f>
        <v>84.859202621518307</v>
      </c>
      <c r="L94" s="62">
        <f>(C38*L37+D38*L38+G38*L41)/SUM(L37,L38,L41)</f>
        <v>184.98684455778053</v>
      </c>
    </row>
    <row r="95" spans="1:15" x14ac:dyDescent="0.25">
      <c r="J95" s="76" t="s">
        <v>68</v>
      </c>
      <c r="K95" s="62">
        <f>(E39*M39+F39*M40)/SUM(M39,M40)</f>
        <v>177.85920262151831</v>
      </c>
      <c r="L95" s="62">
        <f>(C39*M37+D39*M38+G39*M41)/SUM(M37,M38,M41)</f>
        <v>193.20001076900266</v>
      </c>
    </row>
    <row r="96" spans="1:15" x14ac:dyDescent="0.25">
      <c r="C96" s="62" t="s">
        <v>162</v>
      </c>
      <c r="J96" s="76" t="s">
        <v>96</v>
      </c>
      <c r="K96" s="62">
        <f>(E40*N39+F40*N40)/SUM(N39,N40)</f>
        <v>92.2</v>
      </c>
      <c r="L96" s="62">
        <f>(C40*N37+D40*N38+G40*N41)/SUM(N37,N38,N41)</f>
        <v>145.05421563894174</v>
      </c>
    </row>
    <row r="97" spans="2:12" x14ac:dyDescent="0.25">
      <c r="C97" s="62"/>
      <c r="J97" s="76" t="s">
        <v>79</v>
      </c>
      <c r="K97" s="62">
        <f>(E41*O39+F41*O40)/SUM(O39,O40)</f>
        <v>198.65920262151829</v>
      </c>
      <c r="L97" s="62">
        <f>(C41*O37+D41*O38+G41*O41)/SUM(O37,O38,O41)</f>
        <v>298.78684455778057</v>
      </c>
    </row>
    <row r="98" spans="2:12" x14ac:dyDescent="0.25">
      <c r="C98" s="62"/>
      <c r="J98" s="76" t="s">
        <v>77</v>
      </c>
      <c r="K98" s="62">
        <f>(E42*P39+F42*P40)/SUM(P39,P40)</f>
        <v>101.3407973784817</v>
      </c>
      <c r="L98" s="62">
        <f>(C42*P37+D42*P38+G42*P41)/SUM(P37,P38,P41)</f>
        <v>286.19884276660162</v>
      </c>
    </row>
    <row r="99" spans="2:12" x14ac:dyDescent="0.25">
      <c r="B99" s="68" t="s">
        <v>163</v>
      </c>
      <c r="J99" s="68" t="s">
        <v>164</v>
      </c>
      <c r="K99" s="62"/>
      <c r="L99" s="62"/>
    </row>
    <row r="100" spans="2:12" ht="45.75" x14ac:dyDescent="0.25">
      <c r="C100" s="76" t="s">
        <v>165</v>
      </c>
      <c r="D100" s="76" t="s">
        <v>166</v>
      </c>
      <c r="E100" s="76" t="s">
        <v>167</v>
      </c>
      <c r="F100" s="76" t="s">
        <v>168</v>
      </c>
      <c r="G100" s="76" t="s">
        <v>169</v>
      </c>
      <c r="J100" s="76" t="s">
        <v>170</v>
      </c>
      <c r="K100" s="62">
        <f>SUMPRODUCT(C101:C106,J60:J65)</f>
        <v>164.5413553330738</v>
      </c>
      <c r="L100" s="62"/>
    </row>
    <row r="101" spans="2:12" ht="23.25" x14ac:dyDescent="0.25">
      <c r="B101" s="76" t="s">
        <v>70</v>
      </c>
      <c r="C101" s="62">
        <f t="shared" ref="C101:C106" si="9">SUM($D$93,$E$93,$G$93)/SUM($E$18:$E$23)*E18</f>
        <v>1086.5265544940878</v>
      </c>
      <c r="D101" s="62" t="s">
        <v>171</v>
      </c>
      <c r="E101" s="62">
        <f t="shared" ref="E101:E106" si="10">E18-C101</f>
        <v>1213.4734455059122</v>
      </c>
      <c r="F101" s="62">
        <f>C101*L93</f>
        <v>262707.82713936287</v>
      </c>
      <c r="G101" s="62">
        <f>E101*K93</f>
        <v>171899.68069275396</v>
      </c>
      <c r="J101" s="76" t="s">
        <v>172</v>
      </c>
      <c r="K101" s="62">
        <f>K67-K100</f>
        <v>183.76593241865777</v>
      </c>
      <c r="L101" s="62"/>
    </row>
    <row r="102" spans="2:12" ht="23.25" x14ac:dyDescent="0.25">
      <c r="B102" s="76" t="s">
        <v>73</v>
      </c>
      <c r="C102" s="62">
        <f t="shared" si="9"/>
        <v>392.0943653174316</v>
      </c>
      <c r="D102" s="62" t="s">
        <v>171</v>
      </c>
      <c r="E102" s="62">
        <f t="shared" si="10"/>
        <v>437.90563468256829</v>
      </c>
      <c r="F102" s="62">
        <f t="shared" ref="F102:F106" si="11">C102*L94</f>
        <v>72532.299408957333</v>
      </c>
      <c r="G102" s="62">
        <f t="shared" ref="G102:G106" si="12">E102*K94</f>
        <v>37160.322982632635</v>
      </c>
      <c r="J102" s="76" t="s">
        <v>173</v>
      </c>
      <c r="K102" s="62">
        <f>D93*J73+E93*J74+G93*J77</f>
        <v>229.31896422328433</v>
      </c>
      <c r="L102" s="62"/>
    </row>
    <row r="103" spans="2:12" ht="23.25" x14ac:dyDescent="0.25">
      <c r="B103" s="76" t="s">
        <v>68</v>
      </c>
      <c r="C103" s="62">
        <f t="shared" si="9"/>
        <v>1160.2362797495418</v>
      </c>
      <c r="D103" s="62" t="s">
        <v>171</v>
      </c>
      <c r="E103" s="62">
        <f t="shared" si="10"/>
        <v>1295.7952202504582</v>
      </c>
      <c r="F103" s="62">
        <f t="shared" si="11"/>
        <v>224157.66174219907</v>
      </c>
      <c r="G103" s="62">
        <f t="shared" si="12"/>
        <v>230469.10463452118</v>
      </c>
      <c r="J103" s="76" t="s">
        <v>174</v>
      </c>
      <c r="K103" s="62">
        <f>K79-K102</f>
        <v>96.639017986154641</v>
      </c>
      <c r="L103" s="62"/>
    </row>
    <row r="104" spans="2:12" x14ac:dyDescent="0.25">
      <c r="B104" s="76" t="s">
        <v>96</v>
      </c>
      <c r="C104" s="62">
        <f t="shared" si="9"/>
        <v>3306.8199484602669</v>
      </c>
      <c r="D104" s="62" t="s">
        <v>171</v>
      </c>
      <c r="E104" s="62">
        <f t="shared" si="10"/>
        <v>3693.1800515397331</v>
      </c>
      <c r="F104" s="62">
        <f t="shared" si="11"/>
        <v>479668.17388310976</v>
      </c>
      <c r="G104" s="62">
        <f t="shared" si="12"/>
        <v>340511.20075196342</v>
      </c>
      <c r="H104" s="69"/>
      <c r="J104" s="76" t="s">
        <v>175</v>
      </c>
      <c r="K104" s="62">
        <f>K101+K103</f>
        <v>280.40495040481244</v>
      </c>
      <c r="L104" s="62"/>
    </row>
    <row r="105" spans="2:12" x14ac:dyDescent="0.25">
      <c r="B105" s="76" t="s">
        <v>79</v>
      </c>
      <c r="C105" s="62">
        <f t="shared" si="9"/>
        <v>5193.8414410197684</v>
      </c>
      <c r="D105" s="62" t="s">
        <v>171</v>
      </c>
      <c r="E105" s="62">
        <f t="shared" si="10"/>
        <v>5800.6761480213272</v>
      </c>
      <c r="F105" s="62">
        <f t="shared" si="11"/>
        <v>1551851.4952957325</v>
      </c>
      <c r="G105" s="62">
        <f t="shared" si="12"/>
        <v>1152357.6982315772</v>
      </c>
      <c r="H105" s="69"/>
      <c r="J105" s="76" t="s">
        <v>176</v>
      </c>
      <c r="K105" s="62">
        <f>K100+K102</f>
        <v>393.86031955635815</v>
      </c>
      <c r="L105" s="62"/>
    </row>
    <row r="106" spans="2:12" x14ac:dyDescent="0.25">
      <c r="B106" s="76" t="s">
        <v>77</v>
      </c>
      <c r="C106" s="62">
        <f t="shared" si="9"/>
        <v>0</v>
      </c>
      <c r="D106" s="62" t="s">
        <v>171</v>
      </c>
      <c r="E106" s="62">
        <f t="shared" si="10"/>
        <v>0</v>
      </c>
      <c r="F106" s="62">
        <f t="shared" si="11"/>
        <v>0</v>
      </c>
      <c r="G106" s="62">
        <f t="shared" si="12"/>
        <v>0</v>
      </c>
      <c r="H106" s="69"/>
      <c r="J106" s="76"/>
      <c r="K106" s="62"/>
      <c r="L106" s="62"/>
    </row>
    <row r="107" spans="2:12" x14ac:dyDescent="0.25">
      <c r="B107" s="76"/>
      <c r="C107" s="62"/>
      <c r="D107" s="62"/>
      <c r="E107" s="62"/>
      <c r="F107" s="62"/>
      <c r="G107" s="62"/>
      <c r="L107" s="62"/>
    </row>
    <row r="108" spans="2:12" x14ac:dyDescent="0.25">
      <c r="B108" s="76" t="s">
        <v>177</v>
      </c>
      <c r="C108" s="62">
        <f>SUM(C101:C106)</f>
        <v>11139.518589041098</v>
      </c>
      <c r="D108" s="62"/>
      <c r="E108" s="62">
        <f>SUM(E101:E106)</f>
        <v>12441.030499999999</v>
      </c>
      <c r="F108" s="62">
        <f>SUM(F101:F106)</f>
        <v>2590917.4574693618</v>
      </c>
      <c r="G108" s="62">
        <f>SUM(G101:G106)</f>
        <v>1932398.0072934483</v>
      </c>
    </row>
    <row r="109" spans="2:12" x14ac:dyDescent="0.25">
      <c r="B109" s="76"/>
      <c r="C109" s="62"/>
      <c r="D109" s="62"/>
      <c r="E109" s="62"/>
      <c r="F109" s="62"/>
      <c r="G109" s="62"/>
    </row>
    <row r="110" spans="2:12" ht="23.25" x14ac:dyDescent="0.25">
      <c r="B110" s="76" t="s">
        <v>178</v>
      </c>
      <c r="C110" s="62">
        <f>SUM(D93,E93,G93)</f>
        <v>11139.518589041096</v>
      </c>
      <c r="D110" s="62"/>
      <c r="E110" s="62"/>
      <c r="F110" s="62"/>
      <c r="G110" s="62"/>
    </row>
    <row r="111" spans="2:12" x14ac:dyDescent="0.25">
      <c r="B111" s="76"/>
    </row>
    <row r="112" spans="2:12" x14ac:dyDescent="0.25">
      <c r="B112" s="76"/>
    </row>
    <row r="113" spans="2:12" x14ac:dyDescent="0.25">
      <c r="B113" s="68" t="s">
        <v>179</v>
      </c>
      <c r="J113" s="68" t="s">
        <v>180</v>
      </c>
    </row>
    <row r="114" spans="2:12" ht="34.5" x14ac:dyDescent="0.25">
      <c r="B114" s="76" t="s">
        <v>169</v>
      </c>
      <c r="C114" s="78"/>
      <c r="D114" s="62">
        <f>G108</f>
        <v>1932398.0072934483</v>
      </c>
      <c r="E114" s="62"/>
      <c r="J114" s="79" t="s">
        <v>181</v>
      </c>
      <c r="K114" s="80"/>
      <c r="L114" s="81"/>
    </row>
    <row r="115" spans="2:12" ht="34.5" x14ac:dyDescent="0.25">
      <c r="B115" s="76" t="s">
        <v>182</v>
      </c>
      <c r="C115" s="78"/>
      <c r="D115" s="62">
        <f>C94+F94</f>
        <v>1239518.0732551443</v>
      </c>
      <c r="E115" s="62"/>
      <c r="J115" s="82" t="s">
        <v>183</v>
      </c>
      <c r="K115" s="83">
        <f>K104*10^6/D116</f>
        <v>88.402386218337639</v>
      </c>
      <c r="L115" s="84" t="s">
        <v>184</v>
      </c>
    </row>
    <row r="116" spans="2:12" ht="23.25" x14ac:dyDescent="0.25">
      <c r="B116" s="76" t="s">
        <v>185</v>
      </c>
      <c r="C116" s="78"/>
      <c r="D116" s="62">
        <f>SUM(D114:D115)</f>
        <v>3171916.0805485928</v>
      </c>
      <c r="E116" s="62"/>
      <c r="J116" s="82" t="s">
        <v>186</v>
      </c>
      <c r="K116" s="83">
        <f>K105*10^6/D119</f>
        <v>76.012583244123249</v>
      </c>
      <c r="L116" s="84" t="s">
        <v>187</v>
      </c>
    </row>
    <row r="117" spans="2:12" ht="34.5" x14ac:dyDescent="0.25">
      <c r="B117" s="76" t="s">
        <v>188</v>
      </c>
      <c r="C117" s="78"/>
      <c r="D117" s="62">
        <f>F108</f>
        <v>2590917.4574693618</v>
      </c>
      <c r="E117" s="62"/>
      <c r="J117" s="82" t="s">
        <v>189</v>
      </c>
      <c r="K117" s="85">
        <f>2*(ABS(K115-K116))/(K115+K116)</f>
        <v>0.15071380683549282</v>
      </c>
      <c r="L117" s="84" t="s">
        <v>190</v>
      </c>
    </row>
    <row r="118" spans="2:12" ht="34.5" x14ac:dyDescent="0.25">
      <c r="B118" s="76" t="s">
        <v>191</v>
      </c>
      <c r="C118" s="78"/>
      <c r="D118" s="62">
        <f>SUM(D94,E94,G94)</f>
        <v>2590597.2700518686</v>
      </c>
      <c r="E118" s="62"/>
    </row>
    <row r="119" spans="2:12" ht="34.5" x14ac:dyDescent="0.25">
      <c r="B119" s="76" t="s">
        <v>192</v>
      </c>
      <c r="C119" s="78"/>
      <c r="D119" s="62">
        <f>SUM(D117:D118)</f>
        <v>5181514.7275212305</v>
      </c>
      <c r="E119" s="62"/>
    </row>
    <row r="120" spans="2:12" x14ac:dyDescent="0.25">
      <c r="D120" s="62"/>
      <c r="E120" s="62"/>
    </row>
    <row r="121" spans="2:12" x14ac:dyDescent="0.25">
      <c r="D121" s="62"/>
      <c r="E121" s="62"/>
    </row>
    <row r="126" spans="2:12" x14ac:dyDescent="0.25">
      <c r="E126" s="62"/>
    </row>
  </sheetData>
  <conditionalFormatting sqref="K117">
    <cfRule type="cellIs" dxfId="19" priority="1" operator="lessThan">
      <formula>0.1</formula>
    </cfRule>
    <cfRule type="cellIs" dxfId="18" priority="2" operator="greaterThan">
      <formula>0.1</formula>
    </cfRule>
  </conditionalFormatting>
  <dataValidations count="1">
    <dataValidation type="list" allowBlank="1" showInputMessage="1" showErrorMessage="1" sqref="F12" xr:uid="{00000000-0002-0000-1A00-000000000000}">
      <formula1>"Nybro (P1),New entry point (BP1)"</formula1>
    </dataValidation>
  </dataValidations>
  <pageMargins left="0.7" right="0.7" top="0.75" bottom="0.75" header="0.3" footer="0.3"/>
  <pageSetup paperSize="9"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R113"/>
  <sheetViews>
    <sheetView topLeftCell="A25" zoomScale="90" zoomScaleNormal="90" workbookViewId="0">
      <selection activeCell="E18" sqref="E18"/>
    </sheetView>
  </sheetViews>
  <sheetFormatPr defaultColWidth="9.140625" defaultRowHeight="15" x14ac:dyDescent="0.25"/>
  <cols>
    <col min="1" max="1" width="9.140625" style="53"/>
    <col min="2" max="2" width="19.42578125" style="53" customWidth="1"/>
    <col min="3" max="3" width="10.42578125" style="53" bestFit="1" customWidth="1"/>
    <col min="4" max="4" width="14.5703125" style="53" customWidth="1"/>
    <col min="5" max="5" width="13.42578125" style="53" customWidth="1"/>
    <col min="6" max="6" width="20.85546875" style="53" bestFit="1" customWidth="1"/>
    <col min="7" max="7" width="12.42578125" style="53" customWidth="1"/>
    <col min="8" max="9" width="9.140625" style="53"/>
    <col min="10" max="10" width="17.85546875" style="53" customWidth="1"/>
    <col min="11" max="12" width="11" style="53" bestFit="1" customWidth="1"/>
    <col min="13" max="13" width="11.42578125" style="53" customWidth="1"/>
    <col min="14" max="14" width="9.140625" style="53" customWidth="1"/>
    <col min="15" max="15" width="11" style="53" bestFit="1" customWidth="1"/>
    <col min="16" max="16" width="10.42578125" style="53" bestFit="1" customWidth="1"/>
    <col min="17"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2" t="s">
        <v>205</v>
      </c>
      <c r="F17" s="61"/>
      <c r="G17" s="60"/>
      <c r="H17" s="60"/>
      <c r="I17" s="60"/>
      <c r="J17" s="59" t="s">
        <v>8</v>
      </c>
      <c r="K17" s="61" t="s">
        <v>92</v>
      </c>
      <c r="L17" s="61" t="s">
        <v>93</v>
      </c>
      <c r="M17" s="62" t="s">
        <v>205</v>
      </c>
      <c r="N17" s="61"/>
      <c r="R17" s="62"/>
    </row>
    <row r="18" spans="1:18" x14ac:dyDescent="0.25">
      <c r="A18" s="63" t="s">
        <v>95</v>
      </c>
      <c r="B18" s="61" t="s">
        <v>70</v>
      </c>
      <c r="C18" s="61">
        <v>0</v>
      </c>
      <c r="D18" s="61">
        <v>93</v>
      </c>
      <c r="E18" s="62">
        <f>'Forecasted Capacities'!M3</f>
        <v>6884.9</v>
      </c>
      <c r="F18" s="61"/>
      <c r="G18" s="60"/>
      <c r="H18" s="60"/>
      <c r="I18" s="60"/>
      <c r="J18" s="61" t="s">
        <v>68</v>
      </c>
      <c r="K18" s="61">
        <v>56.8</v>
      </c>
      <c r="L18" s="61">
        <v>0</v>
      </c>
      <c r="M18" s="61">
        <f>'Forecasted Capacities'!E5</f>
        <v>1</v>
      </c>
      <c r="N18" s="64"/>
      <c r="R18" s="62"/>
    </row>
    <row r="19" spans="1:18" x14ac:dyDescent="0.25">
      <c r="B19" s="61" t="s">
        <v>73</v>
      </c>
      <c r="C19" s="61">
        <v>56.8</v>
      </c>
      <c r="D19" s="61">
        <v>93</v>
      </c>
      <c r="E19" s="62">
        <f>'Forecasted Capacities'!M5</f>
        <v>6168</v>
      </c>
      <c r="F19" s="61"/>
      <c r="G19" s="60"/>
      <c r="H19" s="60"/>
      <c r="I19" s="60"/>
      <c r="J19" s="61" t="s">
        <v>66</v>
      </c>
      <c r="K19" s="61">
        <v>275.39999999999998</v>
      </c>
      <c r="L19" s="61">
        <v>93</v>
      </c>
      <c r="M19" s="61">
        <f>'Forecasted Capacities'!E4</f>
        <v>1</v>
      </c>
      <c r="N19" s="61"/>
      <c r="R19" s="62"/>
    </row>
    <row r="20" spans="1:18" x14ac:dyDescent="0.25">
      <c r="B20" s="61" t="s">
        <v>68</v>
      </c>
      <c r="C20" s="61">
        <v>56.8</v>
      </c>
      <c r="D20" s="61">
        <v>0</v>
      </c>
      <c r="E20" s="62">
        <f>'Forecasted Capacities'!M4</f>
        <v>26982.895773076609</v>
      </c>
      <c r="F20" s="61"/>
      <c r="G20" s="60"/>
      <c r="H20" s="60"/>
      <c r="I20" s="60"/>
      <c r="J20" s="61" t="s">
        <v>64</v>
      </c>
      <c r="K20" s="61">
        <v>190</v>
      </c>
      <c r="L20" s="61">
        <v>93</v>
      </c>
      <c r="M20" s="61">
        <f>'Forecasted Capacities'!E3</f>
        <v>33183.752661290899</v>
      </c>
      <c r="N20" s="61"/>
      <c r="R20" s="62"/>
    </row>
    <row r="21" spans="1:18" x14ac:dyDescent="0.25">
      <c r="B21" s="61" t="s">
        <v>96</v>
      </c>
      <c r="C21" s="61">
        <v>97.8</v>
      </c>
      <c r="D21" s="61">
        <v>93</v>
      </c>
      <c r="E21" s="62">
        <f>'Forecasted Capacities'!M6</f>
        <v>6000</v>
      </c>
      <c r="F21" s="61"/>
      <c r="G21" s="60"/>
      <c r="H21" s="60"/>
      <c r="I21" s="60"/>
      <c r="J21" s="61" t="s">
        <v>96</v>
      </c>
      <c r="K21" s="61">
        <v>97.8</v>
      </c>
      <c r="L21" s="61">
        <v>93</v>
      </c>
      <c r="M21" s="61">
        <f>'Forecasted Capacities'!E6</f>
        <v>6000</v>
      </c>
      <c r="N21" s="61"/>
      <c r="R21" s="62"/>
    </row>
    <row r="22" spans="1:18" x14ac:dyDescent="0.25">
      <c r="B22" s="61" t="s">
        <v>79</v>
      </c>
      <c r="C22" s="233">
        <v>0</v>
      </c>
      <c r="D22" s="233">
        <v>150</v>
      </c>
      <c r="E22" s="61">
        <f>'Forecasted Capacities'!M7</f>
        <v>86101.421472000002</v>
      </c>
      <c r="F22" s="60"/>
      <c r="G22" s="60"/>
      <c r="H22" s="60"/>
      <c r="I22" s="60"/>
      <c r="J22" s="61" t="s">
        <v>77</v>
      </c>
      <c r="K22" s="233">
        <v>200</v>
      </c>
      <c r="L22" s="233">
        <v>50</v>
      </c>
      <c r="M22" s="61">
        <f>'Forecasted Capacities'!E7</f>
        <v>86101.421472000002</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132137.21724507661</v>
      </c>
      <c r="F24" s="60"/>
      <c r="G24" s="60"/>
      <c r="H24" s="60"/>
      <c r="I24" s="60"/>
      <c r="J24" s="60"/>
      <c r="K24" s="60"/>
      <c r="L24" s="60"/>
      <c r="M24" s="65">
        <f>SUM(M18:M22)</f>
        <v>125287.1741332909</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'20. Current tariff method 23'!B13+'20. Current tariff method 23'!B14</f>
        <v>963.23609994452931</v>
      </c>
      <c r="F26" s="60"/>
      <c r="G26" s="60"/>
      <c r="H26" s="60"/>
      <c r="I26" s="60"/>
      <c r="J26" s="60"/>
      <c r="K26" s="60"/>
      <c r="L26" s="60"/>
      <c r="M26" s="60"/>
      <c r="N26" s="60"/>
    </row>
    <row r="27" spans="1:18" x14ac:dyDescent="0.25">
      <c r="A27" s="63" t="s">
        <v>99</v>
      </c>
      <c r="B27" s="60"/>
      <c r="C27" s="61" t="s">
        <v>105</v>
      </c>
      <c r="D27" s="60"/>
      <c r="E27" s="61">
        <f>'20. Current tariff method 23'!B13</f>
        <v>288.97082998335884</v>
      </c>
      <c r="F27" s="60"/>
      <c r="G27" s="60"/>
      <c r="H27" s="60"/>
      <c r="I27" s="60"/>
      <c r="J27" s="60"/>
      <c r="K27" s="60"/>
      <c r="L27" s="60"/>
      <c r="M27" s="60"/>
      <c r="N27" s="60"/>
    </row>
    <row r="28" spans="1:18" x14ac:dyDescent="0.25">
      <c r="A28" s="63" t="s">
        <v>101</v>
      </c>
      <c r="B28" s="60"/>
      <c r="C28" s="61" t="s">
        <v>102</v>
      </c>
      <c r="D28" s="60"/>
      <c r="E28" s="61">
        <v>0</v>
      </c>
      <c r="F28" s="60"/>
      <c r="G28" s="60"/>
      <c r="H28" s="60"/>
      <c r="I28" s="60"/>
      <c r="J28" s="60"/>
      <c r="K28" s="60"/>
      <c r="L28" s="60"/>
      <c r="M28" s="60"/>
      <c r="N28" s="60"/>
    </row>
    <row r="29" spans="1:18" x14ac:dyDescent="0.25">
      <c r="A29" s="63" t="s">
        <v>101</v>
      </c>
      <c r="B29" s="60"/>
      <c r="C29" s="61" t="s">
        <v>207</v>
      </c>
      <c r="D29" s="60"/>
      <c r="E29" s="61">
        <f>E27*E28</f>
        <v>0</v>
      </c>
      <c r="F29" s="60"/>
      <c r="G29" s="60"/>
      <c r="H29" s="60"/>
      <c r="I29" s="60"/>
      <c r="J29" s="60"/>
      <c r="K29" s="60"/>
      <c r="L29" s="60"/>
      <c r="N29" s="60"/>
    </row>
    <row r="30" spans="1:18" x14ac:dyDescent="0.25">
      <c r="B30" s="60"/>
      <c r="C30" s="61" t="s">
        <v>208</v>
      </c>
      <c r="D30" s="60"/>
      <c r="E30" s="61">
        <f>E27-E29</f>
        <v>288.97082998335884</v>
      </c>
      <c r="F30" s="60"/>
      <c r="G30" s="60"/>
      <c r="H30" s="60"/>
      <c r="I30" s="60"/>
      <c r="J30" s="60"/>
      <c r="K30" s="60"/>
      <c r="L30" s="60"/>
      <c r="M30" s="60"/>
      <c r="N30" s="60"/>
    </row>
    <row r="31" spans="1:18" x14ac:dyDescent="0.25">
      <c r="B31" s="60"/>
      <c r="C31" s="61"/>
      <c r="D31" s="60"/>
      <c r="E31" s="61"/>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 t="shared" ref="K37:L41" si="0">$M18</f>
        <v>1</v>
      </c>
      <c r="L37" s="62">
        <f t="shared" si="0"/>
        <v>1</v>
      </c>
      <c r="M37" s="62">
        <v>0</v>
      </c>
      <c r="N37" s="62">
        <f>$M18</f>
        <v>1</v>
      </c>
      <c r="O37" s="62">
        <f t="shared" ref="O37:P41" si="1">$M18</f>
        <v>1</v>
      </c>
      <c r="P37" s="62">
        <f t="shared" si="1"/>
        <v>1</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v>
      </c>
      <c r="L38" s="62">
        <f t="shared" si="0"/>
        <v>1</v>
      </c>
      <c r="M38" s="62">
        <f>$M19</f>
        <v>1</v>
      </c>
      <c r="N38" s="62">
        <f>$M19</f>
        <v>1</v>
      </c>
      <c r="O38" s="62">
        <f t="shared" si="1"/>
        <v>1</v>
      </c>
      <c r="P38" s="62">
        <f t="shared" si="1"/>
        <v>1</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33183.752661290899</v>
      </c>
      <c r="L39" s="62">
        <f t="shared" si="0"/>
        <v>33183.752661290899</v>
      </c>
      <c r="M39" s="62">
        <f>$M20</f>
        <v>33183.752661290899</v>
      </c>
      <c r="N39" s="62">
        <f>$M20</f>
        <v>33183.752661290899</v>
      </c>
      <c r="O39" s="62">
        <f t="shared" si="1"/>
        <v>33183.752661290899</v>
      </c>
      <c r="P39" s="62">
        <f t="shared" si="1"/>
        <v>33183.752661290899</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6000</v>
      </c>
      <c r="L40" s="62">
        <f t="shared" si="0"/>
        <v>6000</v>
      </c>
      <c r="M40" s="62">
        <f>$M21</f>
        <v>6000</v>
      </c>
      <c r="N40" s="62">
        <v>0</v>
      </c>
      <c r="O40" s="62">
        <f t="shared" si="1"/>
        <v>6000</v>
      </c>
      <c r="P40" s="62">
        <f t="shared" si="1"/>
        <v>6000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86101.421472000002</v>
      </c>
      <c r="L41" s="62">
        <f t="shared" si="0"/>
        <v>86101.421472000002</v>
      </c>
      <c r="M41" s="62">
        <f>$M22</f>
        <v>86101.421472000002</v>
      </c>
      <c r="N41" s="62">
        <f>$M22</f>
        <v>86101.421472000002</v>
      </c>
      <c r="O41" s="62">
        <f t="shared" si="1"/>
        <v>86101.421472000002</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125287.1741332909</v>
      </c>
      <c r="L43" s="70">
        <f t="shared" ref="L43:P43" si="2">SUM(L37:L41)</f>
        <v>125287.1741332909</v>
      </c>
      <c r="M43" s="70">
        <f t="shared" si="2"/>
        <v>125286.1741332909</v>
      </c>
      <c r="N43" s="70">
        <f t="shared" si="2"/>
        <v>119287.1741332909</v>
      </c>
      <c r="O43" s="70">
        <f>SUM(O37:O41)</f>
        <v>125287.1741332909</v>
      </c>
      <c r="P43" s="70">
        <f t="shared" si="2"/>
        <v>39185.752661290899</v>
      </c>
    </row>
    <row r="45" spans="1:16" x14ac:dyDescent="0.25">
      <c r="B45" s="68" t="s">
        <v>110</v>
      </c>
      <c r="C45" s="68"/>
      <c r="D45" s="68"/>
      <c r="E45" s="68" t="s">
        <v>111</v>
      </c>
      <c r="F45" s="68"/>
      <c r="G45" s="68"/>
      <c r="H45" s="68"/>
      <c r="I45" s="68"/>
      <c r="J45" s="68" t="s">
        <v>113</v>
      </c>
      <c r="K45" s="68"/>
    </row>
    <row r="46" spans="1:16" x14ac:dyDescent="0.25">
      <c r="A46" s="63" t="s">
        <v>114</v>
      </c>
      <c r="B46" s="62"/>
      <c r="C46" s="69" t="s">
        <v>115</v>
      </c>
      <c r="D46" s="69"/>
      <c r="E46" s="69" t="s">
        <v>116</v>
      </c>
      <c r="F46" s="62"/>
      <c r="G46" s="62"/>
      <c r="H46" s="69"/>
      <c r="I46" s="62"/>
      <c r="J46" s="69" t="s">
        <v>118</v>
      </c>
      <c r="K46" s="69" t="s">
        <v>8</v>
      </c>
    </row>
    <row r="47" spans="1:16" x14ac:dyDescent="0.25">
      <c r="B47" s="62" t="s">
        <v>70</v>
      </c>
      <c r="C47" s="62">
        <f>MMULT(C37:G37,K37:K41)/K43</f>
        <v>222.00822882116881</v>
      </c>
      <c r="D47" s="62"/>
      <c r="E47" s="62">
        <f>SUMPRODUCT(C47:C52,E18:E23)</f>
        <v>32725718.061195906</v>
      </c>
      <c r="F47" s="62"/>
      <c r="G47" s="62"/>
      <c r="H47" s="62"/>
      <c r="I47" s="62"/>
      <c r="J47" s="69" t="s">
        <v>26</v>
      </c>
      <c r="K47" s="62" t="s">
        <v>68</v>
      </c>
      <c r="L47" s="62" t="s">
        <v>66</v>
      </c>
      <c r="M47" s="62" t="s">
        <v>64</v>
      </c>
      <c r="N47" s="62" t="s">
        <v>96</v>
      </c>
      <c r="O47" s="62" t="s">
        <v>77</v>
      </c>
    </row>
    <row r="48" spans="1:16" x14ac:dyDescent="0.25">
      <c r="B48" s="62" t="s">
        <v>73</v>
      </c>
      <c r="C48" s="62">
        <f>MMULT(C38:G38,L37:L41)/L43</f>
        <v>165.20822882116883</v>
      </c>
      <c r="D48" s="62"/>
      <c r="E48" s="62"/>
      <c r="F48" s="62"/>
      <c r="G48" s="62"/>
      <c r="H48" s="62"/>
      <c r="I48" s="62"/>
      <c r="J48" s="62" t="s">
        <v>70</v>
      </c>
      <c r="K48" s="62">
        <f t="shared" ref="K48:O49" si="3">$E18</f>
        <v>6884.9</v>
      </c>
      <c r="L48" s="62">
        <f t="shared" si="3"/>
        <v>6884.9</v>
      </c>
      <c r="M48" s="62">
        <f t="shared" si="3"/>
        <v>6884.9</v>
      </c>
      <c r="N48" s="62">
        <f t="shared" si="3"/>
        <v>6884.9</v>
      </c>
      <c r="O48" s="62">
        <f t="shared" si="3"/>
        <v>6884.9</v>
      </c>
    </row>
    <row r="49" spans="2:15" x14ac:dyDescent="0.25">
      <c r="B49" s="62" t="s">
        <v>68</v>
      </c>
      <c r="C49" s="62">
        <f>MMULT(C39:G39,M37:M41)/M43</f>
        <v>199.10633597794549</v>
      </c>
      <c r="D49" s="62"/>
      <c r="E49" s="62"/>
      <c r="F49" s="62"/>
      <c r="G49" s="62"/>
      <c r="H49" s="62"/>
      <c r="I49" s="62"/>
      <c r="J49" s="62" t="s">
        <v>73</v>
      </c>
      <c r="K49" s="62">
        <f t="shared" si="3"/>
        <v>6168</v>
      </c>
      <c r="L49" s="62">
        <f t="shared" si="3"/>
        <v>6168</v>
      </c>
      <c r="M49" s="62">
        <f t="shared" si="3"/>
        <v>6168</v>
      </c>
      <c r="N49" s="62">
        <f t="shared" si="3"/>
        <v>6168</v>
      </c>
      <c r="O49" s="62">
        <f t="shared" si="3"/>
        <v>6168</v>
      </c>
    </row>
    <row r="50" spans="2:15" x14ac:dyDescent="0.25">
      <c r="B50" s="62" t="s">
        <v>96</v>
      </c>
      <c r="C50" s="62">
        <f>MMULT(C40:G40,N37:N41)/N43</f>
        <v>130.45643931271911</v>
      </c>
      <c r="D50" s="62"/>
      <c r="E50" s="62"/>
      <c r="F50" s="62"/>
      <c r="G50" s="62"/>
      <c r="H50" s="62"/>
      <c r="I50" s="62"/>
      <c r="J50" s="62" t="s">
        <v>68</v>
      </c>
      <c r="K50" s="62">
        <v>0</v>
      </c>
      <c r="L50" s="62">
        <f>$E20</f>
        <v>26982.895773076609</v>
      </c>
      <c r="M50" s="62">
        <f>$E20</f>
        <v>26982.895773076609</v>
      </c>
      <c r="N50" s="62">
        <f>$E20</f>
        <v>26982.895773076609</v>
      </c>
      <c r="O50" s="62">
        <f>$E20</f>
        <v>26982.895773076609</v>
      </c>
    </row>
    <row r="51" spans="2:15" x14ac:dyDescent="0.25">
      <c r="B51" s="62" t="s">
        <v>79</v>
      </c>
      <c r="C51" s="62">
        <f>MMULT(C41:G41,O37:O41)/O43</f>
        <v>279.00822882116887</v>
      </c>
      <c r="H51" s="62"/>
      <c r="J51" s="62" t="s">
        <v>96</v>
      </c>
      <c r="K51" s="62">
        <f>$E21</f>
        <v>6000</v>
      </c>
      <c r="L51" s="62">
        <f>$E21</f>
        <v>6000</v>
      </c>
      <c r="M51" s="62">
        <f>$E21</f>
        <v>6000</v>
      </c>
      <c r="N51" s="62">
        <v>0</v>
      </c>
      <c r="O51" s="62">
        <f>$E21</f>
        <v>6000</v>
      </c>
    </row>
    <row r="52" spans="2:15" x14ac:dyDescent="0.25">
      <c r="B52" s="62" t="s">
        <v>77</v>
      </c>
      <c r="C52" s="62">
        <f>MMULT(C42:G42,P37:P41)/P43</f>
        <v>67.124996010265889</v>
      </c>
      <c r="H52" s="62"/>
      <c r="J52" s="62" t="s">
        <v>79</v>
      </c>
      <c r="K52" s="62">
        <f>$E22</f>
        <v>86101.421472000002</v>
      </c>
      <c r="L52" s="62">
        <f t="shared" ref="L52:O53" si="4">$E22</f>
        <v>86101.421472000002</v>
      </c>
      <c r="M52" s="62">
        <f t="shared" si="4"/>
        <v>86101.421472000002</v>
      </c>
      <c r="N52" s="62">
        <f t="shared" si="4"/>
        <v>86101.421472000002</v>
      </c>
      <c r="O52" s="62">
        <f t="shared" si="4"/>
        <v>86101.421472000002</v>
      </c>
    </row>
    <row r="53" spans="2:15" x14ac:dyDescent="0.25">
      <c r="C53" s="62"/>
      <c r="H53" s="62"/>
      <c r="J53" s="62" t="s">
        <v>77</v>
      </c>
      <c r="K53" s="62">
        <f>$E23</f>
        <v>0</v>
      </c>
      <c r="L53" s="62">
        <f t="shared" si="4"/>
        <v>0</v>
      </c>
      <c r="M53" s="62">
        <f t="shared" si="4"/>
        <v>0</v>
      </c>
      <c r="N53" s="62">
        <f t="shared" si="4"/>
        <v>0</v>
      </c>
      <c r="O53" s="62">
        <v>0</v>
      </c>
    </row>
    <row r="54" spans="2:15" x14ac:dyDescent="0.25">
      <c r="C54" s="62"/>
      <c r="H54" s="62"/>
      <c r="J54" s="62"/>
      <c r="K54" s="62"/>
      <c r="L54" s="62"/>
      <c r="M54" s="62"/>
      <c r="N54" s="62"/>
    </row>
    <row r="55" spans="2:15" x14ac:dyDescent="0.25">
      <c r="J55" s="70" t="s">
        <v>14</v>
      </c>
      <c r="K55" s="70">
        <f>SUM(K48:K53)</f>
        <v>105154.32147200001</v>
      </c>
      <c r="L55" s="70">
        <f t="shared" ref="L55:O55" si="5">SUM(L48:L53)</f>
        <v>132137.21724507661</v>
      </c>
      <c r="M55" s="70">
        <f t="shared" si="5"/>
        <v>132137.21724507661</v>
      </c>
      <c r="N55" s="70">
        <f t="shared" si="5"/>
        <v>126137.21724507661</v>
      </c>
      <c r="O55" s="70">
        <f t="shared" si="5"/>
        <v>132137.21724507661</v>
      </c>
    </row>
    <row r="57" spans="2:15" x14ac:dyDescent="0.25">
      <c r="B57" s="68" t="s">
        <v>119</v>
      </c>
      <c r="C57" s="68"/>
      <c r="D57" s="68"/>
      <c r="E57" s="68" t="s">
        <v>120</v>
      </c>
      <c r="F57" s="68"/>
      <c r="G57" s="68"/>
      <c r="H57" s="68"/>
      <c r="I57" s="68"/>
    </row>
    <row r="58" spans="2:15" x14ac:dyDescent="0.25">
      <c r="B58" s="62"/>
      <c r="C58" s="69" t="s">
        <v>122</v>
      </c>
      <c r="D58" s="69"/>
      <c r="E58" s="69" t="s">
        <v>116</v>
      </c>
      <c r="F58" s="69"/>
      <c r="G58" s="69"/>
      <c r="H58" s="69"/>
    </row>
    <row r="59" spans="2:15" x14ac:dyDescent="0.25">
      <c r="B59" s="62" t="s">
        <v>68</v>
      </c>
      <c r="C59" s="62">
        <f>IFERROR(SUMPRODUCT(K48:K53,C37:C42)/K55,)</f>
        <v>192.23894650675186</v>
      </c>
      <c r="E59" s="62">
        <f>SUMPRODUCT(C59:C63,M18:M22)</f>
        <v>31032259.428503752</v>
      </c>
      <c r="F59" s="62"/>
      <c r="G59" s="62"/>
      <c r="H59" s="62"/>
    </row>
    <row r="60" spans="2:15" x14ac:dyDescent="0.25">
      <c r="B60" s="62" t="s">
        <v>66</v>
      </c>
      <c r="C60" s="62">
        <f>IFERROR(SUMPRODUCT(L48:L53,D37:D42)/L55,)</f>
        <v>312.84152899567522</v>
      </c>
      <c r="E60" s="62"/>
      <c r="F60" s="62"/>
      <c r="G60" s="62"/>
      <c r="H60" s="62"/>
    </row>
    <row r="61" spans="2:15" x14ac:dyDescent="0.25">
      <c r="B61" s="62" t="s">
        <v>64</v>
      </c>
      <c r="C61" s="62">
        <f>IFERROR(SUMPRODUCT(M48:M53,E37:E42)/M55,)</f>
        <v>227.44152899567524</v>
      </c>
      <c r="E61" s="62"/>
      <c r="F61" s="62"/>
      <c r="G61" s="62"/>
      <c r="H61" s="62"/>
    </row>
    <row r="62" spans="2:15" x14ac:dyDescent="0.25">
      <c r="B62" s="62" t="s">
        <v>96</v>
      </c>
      <c r="C62" s="62">
        <f>IFERROR(SUMPRODUCT(N48:N53,F37:F42)/N55,)</f>
        <v>141.67459602931257</v>
      </c>
      <c r="E62" s="62"/>
      <c r="F62" s="62"/>
      <c r="G62" s="62"/>
      <c r="H62" s="62"/>
    </row>
    <row r="63" spans="2:15" x14ac:dyDescent="0.25">
      <c r="B63" s="62" t="s">
        <v>77</v>
      </c>
      <c r="C63" s="62">
        <f>IFERROR(SUMPRODUCT(O48:O53,G37:G42)/O55,)</f>
        <v>262.88001918893644</v>
      </c>
      <c r="E63" s="62"/>
      <c r="F63" s="62"/>
      <c r="G63" s="62"/>
      <c r="H63" s="62"/>
    </row>
    <row r="64" spans="2:15" x14ac:dyDescent="0.25">
      <c r="B64" s="62"/>
      <c r="C64" s="62"/>
      <c r="E64" s="62"/>
      <c r="F64" s="62"/>
      <c r="G64" s="62"/>
      <c r="H64" s="62"/>
    </row>
    <row r="65" spans="1:15" x14ac:dyDescent="0.25">
      <c r="B65" s="68" t="s">
        <v>211</v>
      </c>
      <c r="C65" s="68"/>
      <c r="D65" s="68"/>
      <c r="E65" s="68"/>
      <c r="F65" s="68"/>
      <c r="G65" s="68"/>
      <c r="H65" s="68"/>
      <c r="I65" s="68"/>
    </row>
    <row r="66" spans="1:15" x14ac:dyDescent="0.25">
      <c r="B66" s="69" t="s">
        <v>212</v>
      </c>
      <c r="C66" s="69"/>
      <c r="G66" s="69"/>
      <c r="H66" s="69"/>
    </row>
    <row r="67" spans="1:15" x14ac:dyDescent="0.25">
      <c r="B67" s="69" t="s">
        <v>8</v>
      </c>
      <c r="C67" s="62" t="s">
        <v>68</v>
      </c>
      <c r="D67" s="62" t="s">
        <v>66</v>
      </c>
      <c r="E67" s="62" t="s">
        <v>64</v>
      </c>
      <c r="F67" s="62" t="s">
        <v>96</v>
      </c>
      <c r="G67" s="62" t="s">
        <v>77</v>
      </c>
      <c r="H67" s="62"/>
    </row>
    <row r="68" spans="1:15" x14ac:dyDescent="0.25">
      <c r="B68" s="62"/>
      <c r="C68" s="236">
        <f>$E$30/($M$24-$M$21)</f>
        <v>2.4224803050532846E-3</v>
      </c>
      <c r="D68" s="236">
        <f t="shared" ref="D68:F68" si="6">$E$30/($M$24-$M$21)</f>
        <v>2.4224803050532846E-3</v>
      </c>
      <c r="E68" s="236">
        <f t="shared" si="6"/>
        <v>2.4224803050532846E-3</v>
      </c>
      <c r="F68" s="236">
        <f t="shared" si="6"/>
        <v>2.4224803050532846E-3</v>
      </c>
      <c r="G68" s="236">
        <f>$E$30/($M$24-$M$21)</f>
        <v>2.4224803050532846E-3</v>
      </c>
      <c r="H68" s="62"/>
    </row>
    <row r="69" spans="1:15" x14ac:dyDescent="0.25">
      <c r="B69" s="62"/>
      <c r="C69" s="62"/>
      <c r="E69" s="62"/>
      <c r="F69" s="62"/>
      <c r="G69" s="62"/>
      <c r="H69" s="62"/>
    </row>
    <row r="70" spans="1:15" x14ac:dyDescent="0.25">
      <c r="B70" s="69" t="s">
        <v>213</v>
      </c>
      <c r="C70" s="62"/>
      <c r="E70" s="62"/>
      <c r="F70" s="62"/>
      <c r="G70" s="62"/>
      <c r="H70" s="62"/>
    </row>
    <row r="71" spans="1:15" x14ac:dyDescent="0.25">
      <c r="B71" s="62" t="s">
        <v>70</v>
      </c>
      <c r="C71" s="236">
        <f>IFERROR($E$29/($E$24-$E$21),)</f>
        <v>0</v>
      </c>
    </row>
    <row r="72" spans="1:15" x14ac:dyDescent="0.25">
      <c r="B72" s="62" t="s">
        <v>73</v>
      </c>
      <c r="C72" s="236">
        <f t="shared" ref="C72:C76" si="7">IFERROR($E$29/($E$24-$E$21),)</f>
        <v>0</v>
      </c>
      <c r="D72" s="68"/>
      <c r="E72" s="68"/>
      <c r="F72" s="68"/>
      <c r="G72" s="68"/>
      <c r="L72" s="68"/>
      <c r="N72" s="68"/>
      <c r="O72" s="68"/>
    </row>
    <row r="73" spans="1:15" x14ac:dyDescent="0.25">
      <c r="B73" s="62" t="s">
        <v>68</v>
      </c>
      <c r="C73" s="236">
        <f t="shared" si="7"/>
        <v>0</v>
      </c>
    </row>
    <row r="74" spans="1:15" x14ac:dyDescent="0.25">
      <c r="B74" s="62" t="s">
        <v>96</v>
      </c>
      <c r="C74" s="236">
        <f t="shared" si="7"/>
        <v>0</v>
      </c>
      <c r="D74" s="69"/>
      <c r="E74" s="69"/>
      <c r="F74" s="69"/>
      <c r="L74" s="69"/>
      <c r="N74" s="69"/>
      <c r="O74" s="69"/>
    </row>
    <row r="75" spans="1:15" x14ac:dyDescent="0.25">
      <c r="B75" s="62" t="s">
        <v>79</v>
      </c>
      <c r="C75" s="236">
        <f t="shared" si="7"/>
        <v>0</v>
      </c>
      <c r="E75" s="62"/>
      <c r="F75" s="62"/>
      <c r="G75" s="62"/>
      <c r="H75" s="62"/>
    </row>
    <row r="76" spans="1:15" x14ac:dyDescent="0.25">
      <c r="B76" s="62" t="s">
        <v>77</v>
      </c>
      <c r="C76" s="236">
        <f t="shared" si="7"/>
        <v>0</v>
      </c>
      <c r="E76" s="62"/>
      <c r="F76" s="62"/>
      <c r="G76" s="62"/>
      <c r="H76" s="62"/>
    </row>
    <row r="77" spans="1:15" x14ac:dyDescent="0.25">
      <c r="B77" s="62"/>
      <c r="C77" s="62"/>
      <c r="E77" s="62"/>
      <c r="F77" s="62"/>
      <c r="G77" s="62"/>
      <c r="H77" s="62"/>
    </row>
    <row r="80" spans="1:15" ht="18.75" x14ac:dyDescent="0.3">
      <c r="A80" s="58" t="s">
        <v>151</v>
      </c>
    </row>
    <row r="82" spans="2:12" x14ac:dyDescent="0.25">
      <c r="B82" s="68" t="s">
        <v>152</v>
      </c>
      <c r="J82" s="68" t="s">
        <v>153</v>
      </c>
    </row>
    <row r="83" spans="2:12" x14ac:dyDescent="0.25">
      <c r="B83" s="69" t="s">
        <v>154</v>
      </c>
      <c r="C83" s="69" t="s">
        <v>155</v>
      </c>
      <c r="D83" s="69" t="s">
        <v>156</v>
      </c>
      <c r="E83" s="69" t="s">
        <v>156</v>
      </c>
      <c r="F83" s="69" t="s">
        <v>155</v>
      </c>
      <c r="G83" s="69" t="s">
        <v>156</v>
      </c>
      <c r="J83" s="75" t="s">
        <v>157</v>
      </c>
      <c r="K83" s="75"/>
      <c r="L83" s="75"/>
    </row>
    <row r="84" spans="2:12" x14ac:dyDescent="0.25">
      <c r="B84" s="62"/>
      <c r="C84" s="62" t="s">
        <v>64</v>
      </c>
      <c r="D84" s="62" t="s">
        <v>68</v>
      </c>
      <c r="E84" s="62" t="s">
        <v>66</v>
      </c>
      <c r="F84" s="62" t="s">
        <v>96</v>
      </c>
      <c r="G84" s="62" t="s">
        <v>77</v>
      </c>
      <c r="J84" s="74"/>
      <c r="K84" s="69" t="s">
        <v>158</v>
      </c>
      <c r="L84" s="69" t="s">
        <v>159</v>
      </c>
    </row>
    <row r="85" spans="2:12" x14ac:dyDescent="0.25">
      <c r="B85" s="69" t="s">
        <v>160</v>
      </c>
      <c r="C85" s="62">
        <f>M20</f>
        <v>33183.752661290899</v>
      </c>
      <c r="D85" s="62">
        <f>M18</f>
        <v>1</v>
      </c>
      <c r="E85" s="62">
        <f>M19</f>
        <v>1</v>
      </c>
      <c r="F85" s="62">
        <f>M21</f>
        <v>6000</v>
      </c>
      <c r="G85" s="74">
        <f>M22</f>
        <v>86101.421472000002</v>
      </c>
      <c r="J85" s="76" t="s">
        <v>70</v>
      </c>
      <c r="K85" s="62">
        <f>(K39*E37+K40*F37)/SUM(K39,K40)</f>
        <v>175.88190353328514</v>
      </c>
      <c r="L85" s="62">
        <f>(K37*C37+K38*D37+K41*G37)/SUM(K37,K38,K41)</f>
        <v>242.99929387242733</v>
      </c>
    </row>
    <row r="86" spans="2:12" x14ac:dyDescent="0.25">
      <c r="B86" s="69" t="s">
        <v>161</v>
      </c>
      <c r="C86" s="62">
        <f>C85*C61</f>
        <v>7547363.4430983094</v>
      </c>
      <c r="D86" s="62">
        <f>D85*C59</f>
        <v>192.23894650675186</v>
      </c>
      <c r="E86" s="62">
        <f>E85*C60</f>
        <v>312.84152899567522</v>
      </c>
      <c r="F86" s="62">
        <f>F85*C62</f>
        <v>850047.57617587538</v>
      </c>
      <c r="G86" s="74">
        <f>G85*C63</f>
        <v>22634343.328754064</v>
      </c>
      <c r="J86" s="76" t="s">
        <v>73</v>
      </c>
      <c r="K86" s="62">
        <f>(L39*E38+L40*F38)/SUM(L39,L40)</f>
        <v>119.08190353328513</v>
      </c>
      <c r="L86" s="62">
        <f>(L37*C38+L38*D38+L41*G38)/SUM(L37,L38,L41)</f>
        <v>186.19929387242735</v>
      </c>
    </row>
    <row r="87" spans="2:12" x14ac:dyDescent="0.25">
      <c r="J87" s="76" t="s">
        <v>68</v>
      </c>
      <c r="K87" s="62">
        <f>(M39*E39+M40*F39)/SUM(M39,M40)</f>
        <v>212.08190353328513</v>
      </c>
      <c r="L87" s="62">
        <f>(M37*C39+M38*D39+M41*G39)/SUM(M37,M38,M41)</f>
        <v>193.20137510650659</v>
      </c>
    </row>
    <row r="88" spans="2:12" x14ac:dyDescent="0.25">
      <c r="C88" s="62" t="s">
        <v>162</v>
      </c>
      <c r="J88" s="76" t="s">
        <v>96</v>
      </c>
      <c r="K88" s="62">
        <f>(N39*E40+N40*F40)/SUM(N39,N40)</f>
        <v>92.2</v>
      </c>
      <c r="L88" s="62">
        <f>(N37*C40+N38*D40+N41*G40)/SUM(N37,N38,N41)</f>
        <v>145.2002462155352</v>
      </c>
    </row>
    <row r="89" spans="2:12" x14ac:dyDescent="0.25">
      <c r="C89" s="62"/>
      <c r="J89" s="76" t="s">
        <v>79</v>
      </c>
      <c r="K89" s="62">
        <f>(O39*E41+O40*F41)/SUM(O39,O40)</f>
        <v>232.88190353328514</v>
      </c>
      <c r="L89" s="62">
        <f>(O37*C41+O38*D41+O41*G41)/SUM(O37,O38,O41)</f>
        <v>299.99929387242736</v>
      </c>
    </row>
    <row r="90" spans="2:12" x14ac:dyDescent="0.25">
      <c r="C90" s="62"/>
      <c r="J90" s="76" t="s">
        <v>77</v>
      </c>
      <c r="K90" s="62">
        <f>(P39*E42+P40*F42)/SUM(P39,P40)</f>
        <v>67.11809646671486</v>
      </c>
      <c r="L90" s="62">
        <f>(P37*C42+P38*D42+P41*G42)/SUM(P37,P38,P41)</f>
        <v>202.29999999999998</v>
      </c>
    </row>
    <row r="91" spans="2:12" x14ac:dyDescent="0.25">
      <c r="B91" s="68" t="s">
        <v>163</v>
      </c>
      <c r="J91" s="68" t="s">
        <v>164</v>
      </c>
      <c r="K91" s="62"/>
      <c r="L91" s="62"/>
    </row>
    <row r="92" spans="2:12" ht="23.25" x14ac:dyDescent="0.25">
      <c r="C92" s="76" t="s">
        <v>165</v>
      </c>
      <c r="D92" s="76" t="s">
        <v>166</v>
      </c>
      <c r="E92" s="76" t="s">
        <v>167</v>
      </c>
      <c r="F92" s="76" t="s">
        <v>168</v>
      </c>
      <c r="G92" s="76" t="s">
        <v>169</v>
      </c>
      <c r="J92" s="76" t="s">
        <v>170</v>
      </c>
      <c r="K92" s="62">
        <f>SUMPRODUCT(C93:C98,C71:C76)</f>
        <v>0</v>
      </c>
      <c r="L92" s="62"/>
    </row>
    <row r="93" spans="2:12" ht="23.25" x14ac:dyDescent="0.25">
      <c r="B93" s="76" t="s">
        <v>70</v>
      </c>
      <c r="C93" s="62">
        <f t="shared" ref="C93:C98" si="8">SUM($D$85,$E$85,$G$85)/SUM($E$18:$E$23)*E18</f>
        <v>4486.3472899771605</v>
      </c>
      <c r="D93" s="62" t="s">
        <v>171</v>
      </c>
      <c r="E93" s="62">
        <f t="shared" ref="E93:E98" si="9">E18-C93</f>
        <v>2398.5527100228392</v>
      </c>
      <c r="F93" s="62">
        <f>C93*L85</f>
        <v>1090179.2235309279</v>
      </c>
      <c r="G93" s="62">
        <f>E93*K85</f>
        <v>421862.01636373665</v>
      </c>
      <c r="J93" s="76" t="s">
        <v>172</v>
      </c>
      <c r="K93" s="62">
        <f>E29-K92</f>
        <v>0</v>
      </c>
      <c r="L93" s="62"/>
    </row>
    <row r="94" spans="2:12" ht="23.25" x14ac:dyDescent="0.25">
      <c r="B94" s="76" t="s">
        <v>73</v>
      </c>
      <c r="C94" s="62">
        <f t="shared" si="8"/>
        <v>4019.2000006650974</v>
      </c>
      <c r="D94" s="62" t="s">
        <v>171</v>
      </c>
      <c r="E94" s="62">
        <f t="shared" si="9"/>
        <v>2148.7999993349026</v>
      </c>
      <c r="F94" s="62">
        <f>C94*L86</f>
        <v>748372.20205590071</v>
      </c>
      <c r="G94" s="62">
        <f>E94*K86</f>
        <v>255883.19423312202</v>
      </c>
      <c r="J94" s="76" t="s">
        <v>173</v>
      </c>
      <c r="K94" s="62">
        <f>D85*C68+E85*D68+G85*G68</f>
        <v>208.58384271362212</v>
      </c>
      <c r="L94" s="62"/>
    </row>
    <row r="95" spans="2:12" ht="23.25" x14ac:dyDescent="0.25">
      <c r="B95" s="76" t="s">
        <v>68</v>
      </c>
      <c r="C95" s="62">
        <f t="shared" si="8"/>
        <v>17582.62884388712</v>
      </c>
      <c r="D95" s="62" t="s">
        <v>171</v>
      </c>
      <c r="E95" s="62">
        <f t="shared" si="9"/>
        <v>9400.266929189489</v>
      </c>
      <c r="F95" s="62">
        <f>C95*L87</f>
        <v>3396988.0706263175</v>
      </c>
      <c r="G95" s="62">
        <f>E95*K87</f>
        <v>1993626.5040634957</v>
      </c>
      <c r="J95" s="76" t="s">
        <v>174</v>
      </c>
      <c r="K95" s="62">
        <f>E30-K94</f>
        <v>80.386987269736721</v>
      </c>
      <c r="L95" s="62"/>
    </row>
    <row r="96" spans="2:12" x14ac:dyDescent="0.25">
      <c r="B96" s="76" t="s">
        <v>96</v>
      </c>
      <c r="C96" s="62">
        <f t="shared" si="8"/>
        <v>3909.727627106126</v>
      </c>
      <c r="D96" s="62" t="s">
        <v>171</v>
      </c>
      <c r="E96" s="62">
        <f t="shared" si="9"/>
        <v>2090.272372893874</v>
      </c>
      <c r="F96" s="62">
        <f>C96*L88</f>
        <v>567693.41409148974</v>
      </c>
      <c r="G96" s="62">
        <f>E96*K88</f>
        <v>192723.11278081519</v>
      </c>
      <c r="H96" s="69"/>
      <c r="J96" s="77" t="s">
        <v>175</v>
      </c>
      <c r="K96" s="62">
        <f>K93+K95</f>
        <v>80.386987269736721</v>
      </c>
      <c r="L96" s="62"/>
    </row>
    <row r="97" spans="2:12" x14ac:dyDescent="0.25">
      <c r="B97" s="76" t="s">
        <v>79</v>
      </c>
      <c r="C97" s="62">
        <f>SUM($D$85,$E$85,$G$85)/SUM($E$18:$E$23)*E22</f>
        <v>56105.517710364504</v>
      </c>
      <c r="D97" s="62"/>
      <c r="E97" s="62">
        <f t="shared" si="9"/>
        <v>29995.903761635498</v>
      </c>
      <c r="F97" s="62">
        <f t="shared" ref="F97:F98" si="10">C97*L89</f>
        <v>16831615.695456319</v>
      </c>
      <c r="G97" s="62">
        <f t="shared" ref="G97:G98" si="11">E97*K89</f>
        <v>6985503.1662109029</v>
      </c>
      <c r="H97" s="69"/>
      <c r="J97" s="77"/>
      <c r="K97" s="62"/>
      <c r="L97" s="62"/>
    </row>
    <row r="98" spans="2:12" x14ac:dyDescent="0.25">
      <c r="B98" s="76" t="s">
        <v>77</v>
      </c>
      <c r="C98" s="62">
        <f t="shared" si="8"/>
        <v>0</v>
      </c>
      <c r="D98" s="62"/>
      <c r="E98" s="62">
        <f t="shared" si="9"/>
        <v>0</v>
      </c>
      <c r="F98" s="62">
        <f t="shared" si="10"/>
        <v>0</v>
      </c>
      <c r="G98" s="62">
        <f t="shared" si="11"/>
        <v>0</v>
      </c>
      <c r="H98" s="69"/>
      <c r="J98" s="77"/>
      <c r="K98" s="62"/>
      <c r="L98" s="62"/>
    </row>
    <row r="99" spans="2:12" x14ac:dyDescent="0.25">
      <c r="B99" s="76"/>
      <c r="C99" s="62"/>
      <c r="D99" s="62"/>
      <c r="E99" s="62"/>
      <c r="F99" s="62"/>
      <c r="G99" s="62"/>
      <c r="J99" s="77" t="s">
        <v>176</v>
      </c>
      <c r="K99" s="62">
        <f>K92+K94</f>
        <v>208.58384271362212</v>
      </c>
      <c r="L99" s="62"/>
    </row>
    <row r="100" spans="2:12" x14ac:dyDescent="0.25">
      <c r="B100" s="76" t="s">
        <v>177</v>
      </c>
      <c r="C100" s="62">
        <f>SUM(C93:C98)</f>
        <v>86103.421472000016</v>
      </c>
      <c r="D100" s="62"/>
      <c r="E100" s="62">
        <f>SUM(E93:E98)</f>
        <v>46033.795773076607</v>
      </c>
      <c r="F100" s="62">
        <f>SUM(F93:F98)</f>
        <v>22634848.605760954</v>
      </c>
      <c r="G100" s="62">
        <f>SUM(G93:G98)</f>
        <v>9849597.9936520718</v>
      </c>
    </row>
    <row r="101" spans="2:12" x14ac:dyDescent="0.25">
      <c r="B101" s="76"/>
      <c r="C101" s="62"/>
      <c r="D101" s="62"/>
      <c r="E101" s="62"/>
      <c r="F101" s="62"/>
      <c r="G101" s="62"/>
    </row>
    <row r="102" spans="2:12" x14ac:dyDescent="0.25">
      <c r="B102" s="76" t="s">
        <v>178</v>
      </c>
      <c r="C102" s="62">
        <f>SUM(D85,E85,G85)</f>
        <v>86103.421472000002</v>
      </c>
      <c r="D102" s="62"/>
      <c r="E102" s="62"/>
      <c r="F102" s="62"/>
      <c r="G102" s="62"/>
    </row>
    <row r="103" spans="2:12" x14ac:dyDescent="0.25">
      <c r="B103" s="76"/>
    </row>
    <row r="104" spans="2:12" x14ac:dyDescent="0.25">
      <c r="B104" s="76"/>
    </row>
    <row r="105" spans="2:12" x14ac:dyDescent="0.25">
      <c r="B105" s="68" t="s">
        <v>179</v>
      </c>
      <c r="J105" s="68" t="s">
        <v>180</v>
      </c>
    </row>
    <row r="106" spans="2:12" ht="29.25" customHeight="1" x14ac:dyDescent="0.25">
      <c r="B106" s="76" t="s">
        <v>169</v>
      </c>
      <c r="C106" s="78"/>
      <c r="D106" s="62">
        <f>G100</f>
        <v>9849597.9936520718</v>
      </c>
      <c r="E106" s="62"/>
      <c r="J106" s="79" t="s">
        <v>181</v>
      </c>
      <c r="K106" s="80"/>
      <c r="L106" s="81"/>
    </row>
    <row r="107" spans="2:12" ht="27" customHeight="1" x14ac:dyDescent="0.25">
      <c r="B107" s="76" t="s">
        <v>182</v>
      </c>
      <c r="C107" s="78"/>
      <c r="D107" s="62">
        <f>C86+F86</f>
        <v>8397411.0192741845</v>
      </c>
      <c r="E107" s="62"/>
      <c r="J107" s="82" t="s">
        <v>183</v>
      </c>
      <c r="K107" s="83">
        <f>K96*10^6/D108</f>
        <v>4.4054884399295382</v>
      </c>
      <c r="L107" s="84" t="s">
        <v>184</v>
      </c>
    </row>
    <row r="108" spans="2:12" ht="31.5" customHeight="1" x14ac:dyDescent="0.25">
      <c r="B108" s="77" t="s">
        <v>185</v>
      </c>
      <c r="C108" s="78"/>
      <c r="D108" s="62">
        <f>SUM(D106:D107)</f>
        <v>18247009.012926258</v>
      </c>
      <c r="E108" s="62"/>
      <c r="J108" s="82" t="s">
        <v>186</v>
      </c>
      <c r="K108" s="83">
        <f>K99*10^6/D111</f>
        <v>4.6075820353856587</v>
      </c>
      <c r="L108" s="84" t="s">
        <v>187</v>
      </c>
    </row>
    <row r="109" spans="2:12" ht="28.5" customHeight="1" x14ac:dyDescent="0.25">
      <c r="B109" s="76" t="s">
        <v>188</v>
      </c>
      <c r="C109" s="78"/>
      <c r="D109" s="62">
        <f>F100</f>
        <v>22634848.605760954</v>
      </c>
      <c r="E109" s="62"/>
      <c r="J109" s="82" t="s">
        <v>189</v>
      </c>
      <c r="K109" s="85">
        <f>2*(ABS(K107-K108))/(K107+K108)</f>
        <v>4.4844561242389058E-2</v>
      </c>
      <c r="L109" s="84" t="s">
        <v>190</v>
      </c>
    </row>
    <row r="110" spans="2:12" ht="34.5" customHeight="1" x14ac:dyDescent="0.25">
      <c r="B110" s="76" t="s">
        <v>191</v>
      </c>
      <c r="C110" s="78"/>
      <c r="D110" s="62">
        <f>SUM(D86,E86,G86)</f>
        <v>22634848.409229565</v>
      </c>
      <c r="E110" s="62"/>
    </row>
    <row r="111" spans="2:12" ht="30" customHeight="1" x14ac:dyDescent="0.25">
      <c r="B111" s="77" t="s">
        <v>192</v>
      </c>
      <c r="C111" s="78"/>
      <c r="D111" s="62">
        <f>SUM(D109:D110)</f>
        <v>45269697.014990523</v>
      </c>
      <c r="E111" s="62"/>
    </row>
    <row r="112" spans="2:12" x14ac:dyDescent="0.25">
      <c r="D112" s="62"/>
      <c r="E112" s="62"/>
    </row>
    <row r="113" spans="4:5" x14ac:dyDescent="0.25">
      <c r="D113" s="62"/>
      <c r="E113" s="62"/>
    </row>
  </sheetData>
  <conditionalFormatting sqref="K109">
    <cfRule type="cellIs" dxfId="17" priority="1" operator="lessThan">
      <formula>0.1</formula>
    </cfRule>
    <cfRule type="cellIs" dxfId="16" priority="2" operator="greaterThan">
      <formula>0.1</formula>
    </cfRule>
  </conditionalFormatting>
  <dataValidations count="1">
    <dataValidation type="list" allowBlank="1" showInputMessage="1" showErrorMessage="1" sqref="F12" xr:uid="{00000000-0002-0000-1B00-000000000000}">
      <formula1>"Nybro (P1),New entry point (BP1)"</formula1>
    </dataValidation>
  </dataValidations>
  <pageMargins left="0.7" right="0.7" top="0.75" bottom="0.75" header="0.3" footer="0.3"/>
  <pageSetup paperSize="9"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N47"/>
  <sheetViews>
    <sheetView workbookViewId="0">
      <selection activeCell="A25" sqref="A25"/>
    </sheetView>
  </sheetViews>
  <sheetFormatPr defaultColWidth="9.140625" defaultRowHeight="15" x14ac:dyDescent="0.25"/>
  <cols>
    <col min="1" max="1" width="31.85546875" style="53" bestFit="1" customWidth="1"/>
    <col min="2" max="2" width="11.42578125" style="53" customWidth="1"/>
    <col min="3" max="3" width="12" style="53" customWidth="1"/>
    <col min="4" max="4" width="12.5703125" style="53" customWidth="1"/>
    <col min="5" max="5" width="12.42578125" style="53" customWidth="1"/>
    <col min="6" max="6" width="13.5703125" style="53" customWidth="1"/>
    <col min="7" max="7" width="9.140625" style="53"/>
    <col min="8" max="8" width="17.42578125" style="53" customWidth="1"/>
    <col min="9" max="9" width="15.42578125" style="53" customWidth="1"/>
    <col min="10" max="10" width="10.5703125" style="53" customWidth="1"/>
    <col min="11" max="11" width="20.85546875" style="53" customWidth="1"/>
    <col min="12" max="16384" width="9.140625" style="53"/>
  </cols>
  <sheetData>
    <row r="1" spans="1:14" ht="15.75" thickBot="1" x14ac:dyDescent="0.3">
      <c r="C1" s="137">
        <f>C4/$B$4</f>
        <v>1.0350334400299184E-2</v>
      </c>
      <c r="D1" s="137">
        <f>D4/$B$4</f>
        <v>3.2522406365079262E-2</v>
      </c>
      <c r="E1" s="137">
        <f>E4/$B$4</f>
        <v>7.4985394295049371E-2</v>
      </c>
      <c r="F1" s="137">
        <f>F4/$B$4</f>
        <v>0.88214186493957214</v>
      </c>
    </row>
    <row r="2" spans="1:14" ht="45.75" thickBot="1" x14ac:dyDescent="0.3">
      <c r="A2" s="138" t="s">
        <v>217</v>
      </c>
      <c r="B2" s="139" t="s">
        <v>218</v>
      </c>
      <c r="C2" s="140" t="s">
        <v>219</v>
      </c>
      <c r="D2" s="141" t="s">
        <v>220</v>
      </c>
      <c r="E2" s="141" t="s">
        <v>221</v>
      </c>
      <c r="F2" s="142" t="s">
        <v>222</v>
      </c>
      <c r="H2" s="143" t="s">
        <v>223</v>
      </c>
      <c r="I2" s="278" t="s">
        <v>34</v>
      </c>
      <c r="K2" s="143" t="s">
        <v>224</v>
      </c>
      <c r="L2" s="144">
        <v>2025</v>
      </c>
    </row>
    <row r="3" spans="1:14" x14ac:dyDescent="0.25">
      <c r="A3" s="145" t="s">
        <v>225</v>
      </c>
      <c r="B3" s="146">
        <f>L6</f>
        <v>288.97082998335884</v>
      </c>
      <c r="C3" s="147"/>
      <c r="D3" s="147"/>
      <c r="E3" s="147"/>
      <c r="F3" s="148">
        <f>B3</f>
        <v>288.97082998335884</v>
      </c>
      <c r="H3" s="149" t="s">
        <v>226</v>
      </c>
      <c r="I3" s="150">
        <f>'Forecasted Capacities'!E3</f>
        <v>33183.752661290899</v>
      </c>
      <c r="K3" s="151" t="s">
        <v>16</v>
      </c>
      <c r="L3" s="152">
        <f>Costbase!E31</f>
        <v>674.26526996117047</v>
      </c>
    </row>
    <row r="4" spans="1:14" x14ac:dyDescent="0.25">
      <c r="A4" s="153" t="s">
        <v>227</v>
      </c>
      <c r="B4" s="154">
        <f>L3</f>
        <v>674.26526996117047</v>
      </c>
      <c r="C4" s="155">
        <f>(1/3)*L11</f>
        <v>6.9788710186061182</v>
      </c>
      <c r="D4" s="155">
        <f>((1/3)*L11)+(L12*(2/3))</f>
        <v>21.928729107537055</v>
      </c>
      <c r="E4" s="155">
        <f>(I15/(I13+I18))*(B4-C4-D4)</f>
        <v>50.560047127496276</v>
      </c>
      <c r="F4" s="156">
        <f>B4-C4-D4-E4</f>
        <v>594.79762270753099</v>
      </c>
      <c r="H4" s="149" t="s">
        <v>228</v>
      </c>
      <c r="I4" s="150">
        <f>'Forecasted Capacities'!E4</f>
        <v>1</v>
      </c>
      <c r="K4" s="157" t="s">
        <v>229</v>
      </c>
      <c r="L4" s="152">
        <v>43.361400189214763</v>
      </c>
    </row>
    <row r="5" spans="1:14" x14ac:dyDescent="0.25">
      <c r="A5" s="153" t="s">
        <v>230</v>
      </c>
      <c r="B5" s="154"/>
      <c r="C5" s="158"/>
      <c r="D5" s="158"/>
      <c r="E5" s="158"/>
      <c r="F5" s="156">
        <f>-C5</f>
        <v>0</v>
      </c>
      <c r="H5" s="159" t="s">
        <v>231</v>
      </c>
      <c r="I5" s="150">
        <f>'Forecasted Capacities'!E5</f>
        <v>1</v>
      </c>
      <c r="K5" s="157" t="s">
        <v>232</v>
      </c>
      <c r="L5" s="160" t="e">
        <f>Costbase!#REF!</f>
        <v>#REF!</v>
      </c>
      <c r="N5" s="222" t="s">
        <v>259</v>
      </c>
    </row>
    <row r="6" spans="1:14" ht="15.75" thickBot="1" x14ac:dyDescent="0.3">
      <c r="A6" s="161" t="s">
        <v>263</v>
      </c>
      <c r="B6" s="162">
        <f>SUM(B3:B4)</f>
        <v>963.23609994452931</v>
      </c>
      <c r="C6" s="162">
        <f>SUM(C3:C5)</f>
        <v>6.9788710186061182</v>
      </c>
      <c r="D6" s="162">
        <f>SUM(D3:D4)</f>
        <v>21.928729107537055</v>
      </c>
      <c r="E6" s="162">
        <f>SUM(E3:E4)</f>
        <v>50.560047127496276</v>
      </c>
      <c r="F6" s="163">
        <f>SUM(F3:F5)</f>
        <v>883.76845269088983</v>
      </c>
      <c r="H6" s="159" t="s">
        <v>9</v>
      </c>
      <c r="I6" s="150">
        <f>'Forecasted Capacities'!E7</f>
        <v>86101.421472000002</v>
      </c>
      <c r="K6" s="151" t="s">
        <v>15</v>
      </c>
      <c r="L6" s="152">
        <f>Costbase!E32</f>
        <v>288.97082998335884</v>
      </c>
    </row>
    <row r="7" spans="1:14" ht="16.5" thickTop="1" thickBot="1" x14ac:dyDescent="0.3">
      <c r="A7" s="166" t="s">
        <v>234</v>
      </c>
      <c r="B7" s="167"/>
      <c r="C7" s="168"/>
      <c r="D7" s="168"/>
      <c r="E7" s="168"/>
      <c r="F7" s="156"/>
      <c r="H7" s="164" t="s">
        <v>233</v>
      </c>
      <c r="I7" s="165">
        <f>SUM(I3:I6)</f>
        <v>119287.1741332909</v>
      </c>
      <c r="K7" s="151" t="s">
        <v>236</v>
      </c>
      <c r="L7" s="160">
        <f>L3/(L3+L6)</f>
        <v>0.7</v>
      </c>
    </row>
    <row r="8" spans="1:14" ht="15.75" thickTop="1" x14ac:dyDescent="0.25">
      <c r="A8" s="166" t="s">
        <v>237</v>
      </c>
      <c r="B8" s="167"/>
      <c r="C8" s="171"/>
      <c r="D8" s="171"/>
      <c r="E8" s="171"/>
      <c r="F8" s="171"/>
      <c r="H8" s="169" t="s">
        <v>235</v>
      </c>
      <c r="I8" s="170"/>
      <c r="K8" s="151"/>
      <c r="L8" s="152"/>
    </row>
    <row r="9" spans="1:14" x14ac:dyDescent="0.25">
      <c r="A9" s="172" t="s">
        <v>238</v>
      </c>
      <c r="B9" s="167"/>
      <c r="C9" s="171"/>
      <c r="D9" s="171"/>
      <c r="E9" s="171"/>
      <c r="F9" s="156"/>
      <c r="H9" s="149" t="s">
        <v>63</v>
      </c>
      <c r="I9" s="150">
        <f>'Forecasted Capacities'!E11</f>
        <v>3629166.6666666665</v>
      </c>
      <c r="K9" s="151" t="s">
        <v>239</v>
      </c>
      <c r="L9" s="160">
        <v>0.48283987519909233</v>
      </c>
    </row>
    <row r="10" spans="1:14" x14ac:dyDescent="0.25">
      <c r="A10" s="173" t="s">
        <v>240</v>
      </c>
      <c r="B10" s="174">
        <f>SUM(B7:B9)</f>
        <v>0</v>
      </c>
      <c r="C10" s="174">
        <f t="shared" ref="C10:F10" si="0">SUM(C7:C9)</f>
        <v>0</v>
      </c>
      <c r="D10" s="174">
        <f t="shared" si="0"/>
        <v>0</v>
      </c>
      <c r="E10" s="174">
        <f>SUM(E7:E9)</f>
        <v>0</v>
      </c>
      <c r="F10" s="175">
        <f t="shared" si="0"/>
        <v>0</v>
      </c>
      <c r="H10" s="149" t="s">
        <v>65</v>
      </c>
      <c r="I10" s="150">
        <f>'Forecasted Capacities'!E12</f>
        <v>1</v>
      </c>
      <c r="K10" s="176" t="s">
        <v>241</v>
      </c>
      <c r="L10" s="177">
        <v>0.51716012480090767</v>
      </c>
    </row>
    <row r="11" spans="1:14" x14ac:dyDescent="0.25">
      <c r="A11" s="178"/>
      <c r="B11" s="179"/>
      <c r="C11" s="180"/>
      <c r="D11" s="180"/>
      <c r="E11" s="180"/>
      <c r="F11" s="181"/>
      <c r="H11" s="159" t="s">
        <v>67</v>
      </c>
      <c r="I11" s="150">
        <f>'Forecasted Capacities'!E13</f>
        <v>145000</v>
      </c>
      <c r="K11" s="176" t="s">
        <v>243</v>
      </c>
      <c r="L11" s="182">
        <v>20.936613055818356</v>
      </c>
    </row>
    <row r="12" spans="1:14" ht="15.75" thickBot="1" x14ac:dyDescent="0.3">
      <c r="A12" s="173" t="s">
        <v>244</v>
      </c>
      <c r="B12" s="183" t="s">
        <v>218</v>
      </c>
      <c r="C12" s="184" t="s">
        <v>243</v>
      </c>
      <c r="D12" s="184" t="s">
        <v>245</v>
      </c>
      <c r="E12" s="184"/>
      <c r="F12" s="185" t="s">
        <v>246</v>
      </c>
      <c r="H12" s="159" t="s">
        <v>264</v>
      </c>
      <c r="I12" s="150">
        <f>'Forecasted Capacities'!E14</f>
        <v>10994517.589041095</v>
      </c>
      <c r="K12" s="187" t="s">
        <v>245</v>
      </c>
      <c r="L12" s="188">
        <v>22.424787133396407</v>
      </c>
    </row>
    <row r="13" spans="1:14" ht="16.5" thickTop="1" thickBot="1" x14ac:dyDescent="0.3">
      <c r="A13" s="153" t="s">
        <v>225</v>
      </c>
      <c r="B13" s="167">
        <f>B3-B7+F5</f>
        <v>288.97082998335884</v>
      </c>
      <c r="C13" s="171"/>
      <c r="D13" s="171"/>
      <c r="E13" s="171"/>
      <c r="F13" s="156">
        <f>F3+F5</f>
        <v>288.97082998335884</v>
      </c>
      <c r="H13" s="164" t="s">
        <v>242</v>
      </c>
      <c r="I13" s="165">
        <f>SUM(I9:I12)</f>
        <v>14768685.255707761</v>
      </c>
      <c r="J13" s="150"/>
    </row>
    <row r="14" spans="1:14" ht="15.75" thickTop="1" x14ac:dyDescent="0.25">
      <c r="A14" s="153" t="s">
        <v>227</v>
      </c>
      <c r="B14" s="189">
        <f>B4-B8</f>
        <v>674.26526996117047</v>
      </c>
      <c r="C14" s="189">
        <f>C6-C10</f>
        <v>6.9788710186061182</v>
      </c>
      <c r="D14" s="189">
        <f>D4-D10</f>
        <v>21.928729107537055</v>
      </c>
      <c r="E14" s="189">
        <f>E4-E10</f>
        <v>50.560047127496276</v>
      </c>
      <c r="F14" s="189">
        <f>F4-F8-F9</f>
        <v>594.79762270753099</v>
      </c>
      <c r="H14" s="186" t="s">
        <v>247</v>
      </c>
      <c r="I14" s="150">
        <f>'Forecasted Capacities'!E16</f>
        <v>2300000</v>
      </c>
    </row>
    <row r="15" spans="1:14" ht="15.75" thickBot="1" x14ac:dyDescent="0.3">
      <c r="A15" s="190" t="s">
        <v>218</v>
      </c>
      <c r="B15" s="191">
        <f>SUM(B13:B14)</f>
        <v>963.23609994452931</v>
      </c>
      <c r="C15" s="191">
        <f t="shared" ref="C15:E15" si="1">SUM(C13:C14)</f>
        <v>6.9788710186061182</v>
      </c>
      <c r="D15" s="191">
        <f t="shared" si="1"/>
        <v>21.928729107537055</v>
      </c>
      <c r="E15" s="191">
        <f t="shared" si="1"/>
        <v>50.560047127496276</v>
      </c>
      <c r="F15" s="192">
        <f>SUM(F13:F14)</f>
        <v>883.76845269088983</v>
      </c>
      <c r="H15" s="159" t="s">
        <v>71</v>
      </c>
      <c r="I15" s="150">
        <f>'Forecasted Capacities'!E17</f>
        <v>2456031.5</v>
      </c>
    </row>
    <row r="16" spans="1:14" x14ac:dyDescent="0.25">
      <c r="H16" s="159" t="s">
        <v>72</v>
      </c>
      <c r="I16" s="150">
        <f>'Forecasted Capacities'!E18</f>
        <v>829999.99999999988</v>
      </c>
    </row>
    <row r="17" spans="1:12" ht="15.75" thickBot="1" x14ac:dyDescent="0.3">
      <c r="H17" s="159" t="s">
        <v>265</v>
      </c>
      <c r="I17" s="150">
        <f>'Forecasted Capacities'!E19</f>
        <v>10994517.589041095</v>
      </c>
    </row>
    <row r="18" spans="1:12" ht="35.25" thickTop="1" thickBot="1" x14ac:dyDescent="0.3">
      <c r="A18" s="138" t="s">
        <v>250</v>
      </c>
      <c r="B18" s="195" t="s">
        <v>199</v>
      </c>
      <c r="C18" s="196" t="s">
        <v>29</v>
      </c>
      <c r="D18" s="197" t="s">
        <v>251</v>
      </c>
      <c r="E18" s="198" t="s">
        <v>252</v>
      </c>
      <c r="F18" s="142" t="s">
        <v>253</v>
      </c>
      <c r="H18" s="193" t="s">
        <v>248</v>
      </c>
      <c r="I18" s="194">
        <f>SUM(I14:I17)</f>
        <v>16580549.089041095</v>
      </c>
    </row>
    <row r="19" spans="1:12" ht="15.75" thickBot="1" x14ac:dyDescent="0.3">
      <c r="A19" s="201" t="s">
        <v>255</v>
      </c>
      <c r="B19" s="202">
        <v>12.945207090671333</v>
      </c>
      <c r="C19" s="203">
        <v>15.821607578251736</v>
      </c>
      <c r="D19" s="203">
        <v>14.231059990149252</v>
      </c>
      <c r="E19" s="204">
        <v>11.060432311571477</v>
      </c>
      <c r="F19" s="203">
        <v>10.44720409942445</v>
      </c>
    </row>
    <row r="20" spans="1:12" x14ac:dyDescent="0.25">
      <c r="A20" s="161" t="s">
        <v>256</v>
      </c>
      <c r="B20" s="205">
        <f>B14*10^6/(I13+I18)</f>
        <v>21.508189404125371</v>
      </c>
      <c r="C20" s="206">
        <f>C14*10^6/I15+E20</f>
        <v>23.427597791845258</v>
      </c>
      <c r="D20" s="206">
        <f>D14*10^6/(I9+I10)+F20</f>
        <v>26.628432051294041</v>
      </c>
      <c r="E20" s="207">
        <f>E14/I15*10^6</f>
        <v>20.586074375469646</v>
      </c>
      <c r="F20" s="206">
        <f>F14/(I13+I18-I15)*10^6</f>
        <v>20.586074375469643</v>
      </c>
      <c r="H20" s="143" t="s">
        <v>249</v>
      </c>
      <c r="I20" s="144">
        <v>2017</v>
      </c>
    </row>
    <row r="21" spans="1:12" ht="15.75" thickBot="1" x14ac:dyDescent="0.3">
      <c r="A21" s="208" t="s">
        <v>257</v>
      </c>
      <c r="B21" s="187">
        <f>$B$13/$I$7</f>
        <v>2.4224803050532846E-3</v>
      </c>
      <c r="C21" s="187">
        <f>$B$13/$I$7</f>
        <v>2.4224803050532846E-3</v>
      </c>
      <c r="D21" s="237">
        <f>$B$13/$I$7</f>
        <v>2.4224803050532846E-3</v>
      </c>
      <c r="E21" s="238">
        <f>D21</f>
        <v>2.4224803050532846E-3</v>
      </c>
      <c r="F21" s="237">
        <f>$B$13/$I$7</f>
        <v>2.4224803050532846E-3</v>
      </c>
      <c r="H21" s="199" t="s">
        <v>254</v>
      </c>
      <c r="I21" s="200"/>
    </row>
    <row r="22" spans="1:12" ht="15.75" thickBot="1" x14ac:dyDescent="0.3">
      <c r="A22" s="212" t="s">
        <v>258</v>
      </c>
      <c r="B22" s="213" t="s">
        <v>171</v>
      </c>
      <c r="C22" s="214">
        <f>(C20-$B$20)/$B$20</f>
        <v>8.924081667942424E-2</v>
      </c>
      <c r="D22" s="214">
        <f>(D20-$B$20)/$B$20</f>
        <v>0.23806014309073284</v>
      </c>
      <c r="E22" s="214"/>
      <c r="F22" s="214">
        <f>(F20-$B$20)/$B$20</f>
        <v>-4.2872740765378524E-2</v>
      </c>
      <c r="K22" s="50"/>
      <c r="L22" s="50"/>
    </row>
    <row r="23" spans="1:12" x14ac:dyDescent="0.25">
      <c r="G23" s="50"/>
      <c r="H23" s="50"/>
      <c r="I23" s="50"/>
      <c r="K23" s="50"/>
      <c r="L23" s="50"/>
    </row>
    <row r="24" spans="1:12" x14ac:dyDescent="0.25">
      <c r="A24" s="50"/>
      <c r="B24" s="50"/>
      <c r="C24" s="50"/>
      <c r="D24" s="50"/>
      <c r="E24" s="50"/>
      <c r="F24" s="50"/>
      <c r="G24" s="50"/>
      <c r="H24" s="50"/>
      <c r="I24" s="50"/>
      <c r="K24" s="50"/>
      <c r="L24" s="50"/>
    </row>
    <row r="25" spans="1:12" x14ac:dyDescent="0.25">
      <c r="A25" s="215"/>
      <c r="B25" s="50"/>
      <c r="C25" s="50"/>
      <c r="D25" s="50"/>
      <c r="E25" s="50"/>
      <c r="F25" s="50"/>
      <c r="G25" s="50"/>
      <c r="H25" s="50"/>
      <c r="I25" s="50"/>
      <c r="K25" s="50"/>
      <c r="L25" s="50"/>
    </row>
    <row r="26" spans="1:12" x14ac:dyDescent="0.25">
      <c r="A26" s="215"/>
      <c r="B26" s="50"/>
      <c r="C26" s="50"/>
      <c r="G26" s="50"/>
      <c r="H26" s="50"/>
      <c r="I26" s="50"/>
      <c r="K26" s="50"/>
      <c r="L26" s="50"/>
    </row>
    <row r="27" spans="1:12" x14ac:dyDescent="0.25">
      <c r="A27" s="215"/>
      <c r="B27" s="50"/>
      <c r="C27" s="50"/>
      <c r="G27" s="50"/>
      <c r="H27" s="50"/>
      <c r="I27" s="50"/>
      <c r="K27" s="50"/>
      <c r="L27" s="50"/>
    </row>
    <row r="28" spans="1:12" x14ac:dyDescent="0.25">
      <c r="A28" s="215"/>
      <c r="B28" s="50"/>
      <c r="C28" s="50"/>
      <c r="G28" s="50"/>
      <c r="H28" s="50"/>
      <c r="I28" s="50"/>
      <c r="K28" s="50"/>
      <c r="L28" s="50"/>
    </row>
    <row r="29" spans="1:12" x14ac:dyDescent="0.25">
      <c r="A29" s="215"/>
      <c r="B29" s="50"/>
      <c r="C29" s="50"/>
      <c r="G29" s="50"/>
      <c r="H29" s="50"/>
      <c r="I29" s="50"/>
      <c r="K29" s="50"/>
      <c r="L29" s="50"/>
    </row>
    <row r="30" spans="1:12" x14ac:dyDescent="0.25">
      <c r="A30" s="215"/>
      <c r="B30" s="50"/>
      <c r="C30" s="50"/>
      <c r="G30" s="50"/>
      <c r="H30" s="50"/>
      <c r="I30" s="50"/>
    </row>
    <row r="31" spans="1:12" x14ac:dyDescent="0.25">
      <c r="A31" s="215"/>
      <c r="B31" s="50"/>
      <c r="C31" s="50"/>
      <c r="G31" s="50"/>
      <c r="H31" s="50"/>
      <c r="I31" s="50"/>
    </row>
    <row r="32" spans="1:12" x14ac:dyDescent="0.25">
      <c r="A32" s="50"/>
      <c r="B32" s="50"/>
      <c r="C32" s="50"/>
    </row>
    <row r="40" spans="7:10" x14ac:dyDescent="0.25">
      <c r="G40" s="50"/>
      <c r="H40" s="216"/>
      <c r="I40" s="50"/>
      <c r="J40" s="50"/>
    </row>
    <row r="41" spans="7:10" x14ac:dyDescent="0.25">
      <c r="G41" s="50"/>
      <c r="H41" s="216"/>
      <c r="I41" s="50"/>
      <c r="J41" s="50"/>
    </row>
    <row r="42" spans="7:10" x14ac:dyDescent="0.25">
      <c r="G42" s="50"/>
      <c r="H42" s="216"/>
      <c r="I42" s="50"/>
      <c r="J42" s="50"/>
    </row>
    <row r="43" spans="7:10" x14ac:dyDescent="0.25">
      <c r="G43" s="50"/>
      <c r="H43" s="216"/>
      <c r="I43" s="50"/>
      <c r="J43" s="50"/>
    </row>
    <row r="44" spans="7:10" x14ac:dyDescent="0.25">
      <c r="G44" s="50"/>
      <c r="H44" s="216"/>
      <c r="I44" s="50"/>
      <c r="J44" s="50"/>
    </row>
    <row r="45" spans="7:10" x14ac:dyDescent="0.25">
      <c r="G45" s="50"/>
      <c r="H45" s="216"/>
      <c r="I45" s="50"/>
      <c r="J45" s="50"/>
    </row>
    <row r="46" spans="7:10" x14ac:dyDescent="0.25">
      <c r="G46" s="50"/>
      <c r="H46" s="216"/>
      <c r="I46" s="50"/>
      <c r="J46" s="50"/>
    </row>
    <row r="47" spans="7:10" x14ac:dyDescent="0.25">
      <c r="G47" s="50"/>
      <c r="H47" s="216"/>
      <c r="I47" s="50"/>
      <c r="J47" s="50"/>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autoPageBreaks="0"/>
  </sheetPr>
  <dimension ref="B1:N49"/>
  <sheetViews>
    <sheetView showGridLines="0" zoomScaleNormal="100" workbookViewId="0">
      <selection activeCell="L23" sqref="L23"/>
    </sheetView>
  </sheetViews>
  <sheetFormatPr defaultColWidth="8.7109375" defaultRowHeight="15" x14ac:dyDescent="0.25"/>
  <cols>
    <col min="1" max="1" width="1.42578125" style="285" customWidth="1"/>
    <col min="2" max="2" width="36.7109375" style="285" customWidth="1"/>
    <col min="3" max="3" width="18.140625" style="285" customWidth="1"/>
    <col min="4" max="9" width="10.42578125" style="285" customWidth="1"/>
    <col min="10" max="10" width="9.85546875" style="285" bestFit="1" customWidth="1"/>
    <col min="11" max="12" width="16" style="285" bestFit="1" customWidth="1"/>
    <col min="13" max="13" width="9.140625" style="285" bestFit="1" customWidth="1"/>
    <col min="14" max="14" width="15" style="285" bestFit="1" customWidth="1"/>
    <col min="15" max="16384" width="8.7109375" style="285"/>
  </cols>
  <sheetData>
    <row r="1" spans="2:10" ht="21" x14ac:dyDescent="0.35">
      <c r="B1" s="297" t="s">
        <v>339</v>
      </c>
    </row>
    <row r="2" spans="2:10" x14ac:dyDescent="0.25">
      <c r="B2" s="285" t="s">
        <v>340</v>
      </c>
    </row>
    <row r="4" spans="2:10" x14ac:dyDescent="0.25">
      <c r="B4" s="312" t="s">
        <v>342</v>
      </c>
      <c r="C4" s="313" t="str">
        <f>'1. Sensitivity input'!C4</f>
        <v>With Baltic Pipe</v>
      </c>
    </row>
    <row r="6" spans="2:10" x14ac:dyDescent="0.25">
      <c r="B6" s="314" t="s">
        <v>367</v>
      </c>
      <c r="C6" s="315"/>
      <c r="D6" s="315"/>
      <c r="E6" s="315"/>
      <c r="F6" s="315"/>
      <c r="G6" s="315"/>
      <c r="H6" s="315"/>
      <c r="I6" s="315"/>
      <c r="J6" s="316"/>
    </row>
    <row r="7" spans="2:10" x14ac:dyDescent="0.25">
      <c r="B7" s="317"/>
      <c r="C7" s="318" t="s">
        <v>1</v>
      </c>
      <c r="D7" s="318" t="s">
        <v>31</v>
      </c>
      <c r="E7" s="318" t="s">
        <v>32</v>
      </c>
      <c r="F7" s="318" t="s">
        <v>33</v>
      </c>
      <c r="G7" s="318" t="s">
        <v>34</v>
      </c>
      <c r="H7" s="318" t="s">
        <v>35</v>
      </c>
      <c r="I7" s="318" t="s">
        <v>36</v>
      </c>
      <c r="J7" s="319" t="s">
        <v>393</v>
      </c>
    </row>
    <row r="8" spans="2:10" x14ac:dyDescent="0.25">
      <c r="B8" s="382" t="s">
        <v>350</v>
      </c>
      <c r="C8" s="323" t="s">
        <v>343</v>
      </c>
      <c r="D8" s="383">
        <f>IF('1. Sensitivity input'!$C$4="Without Baltic Pipe",('Input (raw)'!D36*0.25+'Input (raw)'!E36*0.75)*(1+'1. Sensitivity input'!D$8),'Input (raw)'!D48*(1+'1. Sensitivity input'!D$8))</f>
        <v>-56.874777255007402</v>
      </c>
      <c r="E8" s="383">
        <f>IF('1. Sensitivity input'!$C$4="Without Baltic Pipe",('Input (raw)'!E36*0.25+'Input (raw)'!F36*0.75)*(1+'1. Sensitivity input'!E$8),'Input (raw)'!E48*(1+'1. Sensitivity input'!E$8))</f>
        <v>-55.103230272886137</v>
      </c>
      <c r="F8" s="383">
        <f>IF('1. Sensitivity input'!$C$4="Without Baltic Pipe",('Input (raw)'!F36*0.25+'Input (raw)'!G36*0.75)*(1+'1. Sensitivity input'!F$8),'Input (raw)'!F48*(1+'1. Sensitivity input'!F$8))</f>
        <v>-60.195623826381748</v>
      </c>
      <c r="G8" s="383">
        <f>IF('1. Sensitivity input'!$C$4="Without Baltic Pipe",('Input (raw)'!G36*0.25+'Input (raw)'!H36*0.75)*(1+'1. Sensitivity input'!G$8),'Input (raw)'!G48*(1+'1. Sensitivity input'!G$8))</f>
        <v>-131.13459727813969</v>
      </c>
      <c r="H8" s="383">
        <f>IF('1. Sensitivity input'!$C$4="Without Baltic Pipe",('Input (raw)'!H36*0.25+'Input (raw)'!I36*0.75)*(1+'1. Sensitivity input'!H$8),'Input (raw)'!H48*(1+'1. Sensitivity input'!H$8))</f>
        <v>-131.04046288511591</v>
      </c>
      <c r="I8" s="383">
        <f>IF('1. Sensitivity input'!$C$4="Without Baltic Pipe",('Input (raw)'!I36*0.25+'Input (raw)'!J36*0.75)*(1+'1. Sensitivity input'!I$8),'Input (raw)'!I48*(1+'1. Sensitivity input'!I$8))</f>
        <v>-131.8542621279324</v>
      </c>
      <c r="J8" s="384">
        <f>IF('1. Sensitivity input'!$C$4="Without Baltic Pipe",('Input (raw)'!J36*0.25+'Input (raw)'!K36*0.75)*(1+'1. Sensitivity input'!J$8),'Input (raw)'!J48*(1+'1. Sensitivity input'!J$8))</f>
        <v>-132.68190314431052</v>
      </c>
    </row>
    <row r="9" spans="2:10" x14ac:dyDescent="0.25">
      <c r="B9" s="304" t="s">
        <v>351</v>
      </c>
      <c r="C9" s="305" t="s">
        <v>343</v>
      </c>
      <c r="D9" s="320">
        <f>Costbase!B28/'Input (raw)'!$D$58</f>
        <v>1.9429762149578707</v>
      </c>
      <c r="E9" s="320">
        <f>Costbase!C28/'Input (raw)'!$D$58</f>
        <v>1.649975696673182</v>
      </c>
      <c r="F9" s="320">
        <f>Costbase!D28/'Input (raw)'!$D$58</f>
        <v>1.649975696673182</v>
      </c>
      <c r="G9" s="320">
        <f>Costbase!E28/'Input (raw)'!$D$58</f>
        <v>1.649975696673182</v>
      </c>
      <c r="H9" s="320">
        <f>Costbase!F28/'Input (raw)'!$D$58</f>
        <v>1.649975696673182</v>
      </c>
      <c r="I9" s="320">
        <f>Costbase!G28/'Input (raw)'!$D$58</f>
        <v>1.649975696673182</v>
      </c>
      <c r="J9" s="321">
        <f>Costbase!H28/'Input (raw)'!$D$58</f>
        <v>1.649975696673182</v>
      </c>
    </row>
    <row r="10" spans="2:10" x14ac:dyDescent="0.25">
      <c r="B10" s="304" t="s">
        <v>360</v>
      </c>
      <c r="C10" s="305" t="s">
        <v>343</v>
      </c>
      <c r="D10" s="320">
        <f>Costbase!B29/'Input (raw)'!$D$58</f>
        <v>11.83532148419102</v>
      </c>
      <c r="E10" s="320">
        <f>Costbase!C29/'Input (raw)'!$D$58</f>
        <v>10.107772030815983</v>
      </c>
      <c r="F10" s="320">
        <f>Costbase!D29/'Input (raw)'!$D$58</f>
        <v>0</v>
      </c>
      <c r="G10" s="320">
        <f>Costbase!E29/'Input (raw)'!$D$58</f>
        <v>0</v>
      </c>
      <c r="H10" s="320">
        <f>Costbase!F29/'Input (raw)'!$D$58</f>
        <v>0</v>
      </c>
      <c r="I10" s="320">
        <f>Costbase!G29/'Input (raw)'!$D$58</f>
        <v>0</v>
      </c>
      <c r="J10" s="321">
        <f>Costbase!H29/'Input (raw)'!$D$58</f>
        <v>0</v>
      </c>
    </row>
    <row r="11" spans="2:10" x14ac:dyDescent="0.25">
      <c r="B11" s="382" t="s">
        <v>352</v>
      </c>
      <c r="C11" s="323" t="s">
        <v>343</v>
      </c>
      <c r="D11" s="383">
        <f>-Costbase!B30/'Input (raw)'!$D$58</f>
        <v>-43.096479555858515</v>
      </c>
      <c r="E11" s="383">
        <f>-Costbase!C30/'Input (raw)'!$D$58</f>
        <v>-42.754966884689892</v>
      </c>
      <c r="F11" s="383">
        <f>-Costbase!D30/'Input (raw)'!$D$58</f>
        <v>-58.545648129708567</v>
      </c>
      <c r="G11" s="383">
        <f>-Costbase!E30/'Input (raw)'!$D$58</f>
        <v>-129.48462158146651</v>
      </c>
      <c r="H11" s="383">
        <f>-Costbase!F30/'Input (raw)'!$D$58</f>
        <v>-129.39048718844273</v>
      </c>
      <c r="I11" s="383">
        <f>-Costbase!G30/'Input (raw)'!$D$58</f>
        <v>-130.20428643125922</v>
      </c>
      <c r="J11" s="384">
        <f>-Costbase!H30/'Input (raw)'!$D$58</f>
        <v>-131.03192744763734</v>
      </c>
    </row>
    <row r="12" spans="2:10" x14ac:dyDescent="0.25">
      <c r="B12" s="304" t="s">
        <v>353</v>
      </c>
      <c r="C12" s="305" t="s">
        <v>343</v>
      </c>
      <c r="D12" s="320">
        <f>-Costbase!B31/'Input (raw)'!$D$58</f>
        <v>-30.167535689100959</v>
      </c>
      <c r="E12" s="320">
        <f>-Costbase!C31/'Input (raw)'!$D$58</f>
        <v>-29.92847681928292</v>
      </c>
      <c r="F12" s="320">
        <f>-Costbase!D31/'Input (raw)'!$D$58</f>
        <v>-40.981953690795997</v>
      </c>
      <c r="G12" s="320">
        <f>-Costbase!E31/'Input (raw)'!$D$58</f>
        <v>-90.639235107026551</v>
      </c>
      <c r="H12" s="320">
        <f>-Costbase!F31/'Input (raw)'!$D$58</f>
        <v>-90.573341031909905</v>
      </c>
      <c r="I12" s="320">
        <f>-Costbase!G31/'Input (raw)'!$D$58</f>
        <v>-91.143000501881431</v>
      </c>
      <c r="J12" s="321">
        <f>-Costbase!H31/'Input (raw)'!$D$58</f>
        <v>-91.722349213346135</v>
      </c>
    </row>
    <row r="13" spans="2:10" x14ac:dyDescent="0.25">
      <c r="B13" s="306" t="s">
        <v>354</v>
      </c>
      <c r="C13" s="307" t="s">
        <v>343</v>
      </c>
      <c r="D13" s="380">
        <f>-Costbase!B32/'Input (raw)'!$D$58</f>
        <v>-12.928943866757557</v>
      </c>
      <c r="E13" s="380">
        <f>-Costbase!C32/'Input (raw)'!$D$58</f>
        <v>-12.826490065406968</v>
      </c>
      <c r="F13" s="380">
        <f>-Costbase!D32/'Input (raw)'!$D$58</f>
        <v>-17.563694438912574</v>
      </c>
      <c r="G13" s="380">
        <f>-Costbase!E32/'Input (raw)'!$D$58</f>
        <v>-38.845386474439955</v>
      </c>
      <c r="H13" s="380">
        <f>-Costbase!F32/'Input (raw)'!$D$58</f>
        <v>-38.817146156532822</v>
      </c>
      <c r="I13" s="380">
        <f>-Costbase!G32/'Input (raw)'!$D$58</f>
        <v>-39.061285929377775</v>
      </c>
      <c r="J13" s="381">
        <f>-Costbase!H32/'Input (raw)'!$D$58</f>
        <v>-39.309578234291209</v>
      </c>
    </row>
    <row r="14" spans="2:10" x14ac:dyDescent="0.25">
      <c r="B14" s="305"/>
      <c r="C14" s="305"/>
      <c r="D14" s="395"/>
      <c r="E14" s="395"/>
      <c r="F14" s="395"/>
      <c r="G14" s="395"/>
      <c r="H14" s="395"/>
      <c r="I14" s="395"/>
      <c r="J14" s="395"/>
    </row>
    <row r="15" spans="2:10" x14ac:dyDescent="0.25">
      <c r="B15" s="314" t="s">
        <v>367</v>
      </c>
      <c r="C15" s="315"/>
      <c r="D15" s="315"/>
      <c r="E15" s="315"/>
      <c r="F15" s="315"/>
      <c r="G15" s="315"/>
      <c r="H15" s="315"/>
      <c r="I15" s="315"/>
      <c r="J15" s="316"/>
    </row>
    <row r="16" spans="2:10" x14ac:dyDescent="0.25">
      <c r="B16" s="317"/>
      <c r="C16" s="318" t="s">
        <v>1</v>
      </c>
      <c r="D16" s="318" t="s">
        <v>31</v>
      </c>
      <c r="E16" s="318" t="s">
        <v>32</v>
      </c>
      <c r="F16" s="318" t="s">
        <v>33</v>
      </c>
      <c r="G16" s="318" t="s">
        <v>34</v>
      </c>
      <c r="H16" s="318" t="s">
        <v>35</v>
      </c>
      <c r="I16" s="318" t="s">
        <v>36</v>
      </c>
      <c r="J16" s="319" t="s">
        <v>393</v>
      </c>
    </row>
    <row r="17" spans="2:14" x14ac:dyDescent="0.25">
      <c r="B17" s="382" t="s">
        <v>350</v>
      </c>
      <c r="C17" s="323" t="s">
        <v>344</v>
      </c>
      <c r="D17" s="383">
        <f>D8*'Input (raw)'!$D$58</f>
        <v>-423.09146800000008</v>
      </c>
      <c r="E17" s="383">
        <f>E8*'Input (raw)'!$D$58</f>
        <v>-409.91292999999996</v>
      </c>
      <c r="F17" s="383">
        <f>F8*'Input (raw)'!$D$58</f>
        <v>-447.79524564445381</v>
      </c>
      <c r="G17" s="383">
        <f>G8*'Input (raw)'!$D$58</f>
        <v>-975.51026915208115</v>
      </c>
      <c r="H17" s="383">
        <f>H8*'Input (raw)'!$D$58</f>
        <v>-974.81000340237733</v>
      </c>
      <c r="I17" s="383">
        <f>I8*'Input (raw)'!$D$58</f>
        <v>-980.8638559696891</v>
      </c>
      <c r="J17" s="384">
        <f>J8*'Input (raw)'!$D$58</f>
        <v>-987.02067749052605</v>
      </c>
    </row>
    <row r="18" spans="2:14" x14ac:dyDescent="0.25">
      <c r="B18" s="304" t="s">
        <v>351</v>
      </c>
      <c r="C18" s="305" t="s">
        <v>344</v>
      </c>
      <c r="D18" s="320">
        <f>D9*'Input (raw)'!$D$58</f>
        <v>14.453800063071601</v>
      </c>
      <c r="E18" s="320">
        <f>E9*'Input (raw)'!$D$58</f>
        <v>12.2741692075518</v>
      </c>
      <c r="F18" s="320">
        <f>F9*'Input (raw)'!$D$58</f>
        <v>12.2741692075518</v>
      </c>
      <c r="G18" s="320">
        <f>G9*'Input (raw)'!$D$58</f>
        <v>12.2741692075518</v>
      </c>
      <c r="H18" s="320">
        <f>H9*'Input (raw)'!$D$58</f>
        <v>12.2741692075518</v>
      </c>
      <c r="I18" s="320">
        <f>I9*'Input (raw)'!$D$58</f>
        <v>12.2741692075518</v>
      </c>
      <c r="J18" s="321">
        <f>J9*'Input (raw)'!$D$58</f>
        <v>12.2741692075518</v>
      </c>
    </row>
    <row r="19" spans="2:14" x14ac:dyDescent="0.25">
      <c r="B19" s="304" t="s">
        <v>360</v>
      </c>
      <c r="C19" s="305" t="s">
        <v>344</v>
      </c>
      <c r="D19" s="320">
        <f>D10*'Input (raw)'!$D$58</f>
        <v>88.042956520896993</v>
      </c>
      <c r="E19" s="320">
        <f>E10*'Input (raw)'!$D$58</f>
        <v>75.191716137240107</v>
      </c>
      <c r="F19" s="320">
        <f>F10*'Input (raw)'!$D$58</f>
        <v>0</v>
      </c>
      <c r="G19" s="320">
        <f>G10*'Input (raw)'!$D$58</f>
        <v>0</v>
      </c>
      <c r="H19" s="320">
        <f>H10*'Input (raw)'!$D$58</f>
        <v>0</v>
      </c>
      <c r="I19" s="320">
        <f>I10*'Input (raw)'!$D$58</f>
        <v>0</v>
      </c>
      <c r="J19" s="321">
        <f>J10*'Input (raw)'!$D$58</f>
        <v>0</v>
      </c>
    </row>
    <row r="20" spans="2:14" x14ac:dyDescent="0.25">
      <c r="B20" s="382" t="s">
        <v>352</v>
      </c>
      <c r="C20" s="323" t="s">
        <v>344</v>
      </c>
      <c r="D20" s="383">
        <f>D11*'Input (raw)'!$D$58</f>
        <v>-320.59471141603149</v>
      </c>
      <c r="E20" s="383">
        <f>E11*'Input (raw)'!$D$58</f>
        <v>-318.0541986552081</v>
      </c>
      <c r="F20" s="383">
        <f>F11*'Input (raw)'!$D$58</f>
        <v>-435.52107643690204</v>
      </c>
      <c r="G20" s="383">
        <f>G11*'Input (raw)'!$D$58</f>
        <v>-963.23609994452943</v>
      </c>
      <c r="H20" s="383">
        <f>H11*'Input (raw)'!$D$58</f>
        <v>-962.5358341948255</v>
      </c>
      <c r="I20" s="383">
        <f>I11*'Input (raw)'!$D$58</f>
        <v>-968.58968676213738</v>
      </c>
      <c r="J20" s="384">
        <f>J11*'Input (raw)'!$D$58</f>
        <v>-974.74650828297422</v>
      </c>
    </row>
    <row r="21" spans="2:14" x14ac:dyDescent="0.25">
      <c r="B21" s="304" t="s">
        <v>353</v>
      </c>
      <c r="C21" s="305" t="s">
        <v>344</v>
      </c>
      <c r="D21" s="320">
        <f>D12*'Input (raw)'!$D$58</f>
        <v>-224.41629799122202</v>
      </c>
      <c r="E21" s="320">
        <f>E12*'Input (raw)'!$D$58</f>
        <v>-222.63793905864566</v>
      </c>
      <c r="F21" s="320">
        <f>F12*'Input (raw)'!$D$58</f>
        <v>-304.8647535058314</v>
      </c>
      <c r="G21" s="320">
        <f>G12*'Input (raw)'!$D$58</f>
        <v>-674.26526996117047</v>
      </c>
      <c r="H21" s="320">
        <f>H12*'Input (raw)'!$D$58</f>
        <v>-673.77508393637777</v>
      </c>
      <c r="I21" s="320">
        <f>I12*'Input (raw)'!$D$58</f>
        <v>-678.01278073349602</v>
      </c>
      <c r="J21" s="321">
        <f>J12*'Input (raw)'!$D$58</f>
        <v>-682.32255579808191</v>
      </c>
    </row>
    <row r="22" spans="2:14" x14ac:dyDescent="0.25">
      <c r="B22" s="306" t="s">
        <v>354</v>
      </c>
      <c r="C22" s="307" t="s">
        <v>344</v>
      </c>
      <c r="D22" s="380">
        <f>D13*'Input (raw)'!$D$58</f>
        <v>-96.178413424809463</v>
      </c>
      <c r="E22" s="380">
        <f>E13*'Input (raw)'!$D$58</f>
        <v>-95.41625959656244</v>
      </c>
      <c r="F22" s="380">
        <f>F13*'Input (raw)'!$D$58</f>
        <v>-130.65632293107063</v>
      </c>
      <c r="G22" s="380">
        <f>G13*'Input (raw)'!$D$58</f>
        <v>-288.97082998335884</v>
      </c>
      <c r="H22" s="380">
        <f>H13*'Input (raw)'!$D$58</f>
        <v>-288.76075025844767</v>
      </c>
      <c r="I22" s="380">
        <f>I13*'Input (raw)'!$D$58</f>
        <v>-290.57690602864125</v>
      </c>
      <c r="J22" s="381">
        <f>J13*'Input (raw)'!$D$58</f>
        <v>-292.42395248489231</v>
      </c>
    </row>
    <row r="23" spans="2:14" x14ac:dyDescent="0.25">
      <c r="J23" s="305"/>
    </row>
    <row r="24" spans="2:14" x14ac:dyDescent="0.25">
      <c r="B24" s="314" t="s">
        <v>368</v>
      </c>
      <c r="C24" s="315"/>
      <c r="D24" s="315"/>
      <c r="E24" s="315"/>
      <c r="F24" s="315"/>
      <c r="G24" s="315"/>
      <c r="H24" s="315"/>
      <c r="I24" s="315"/>
      <c r="J24" s="316"/>
    </row>
    <row r="25" spans="2:14" x14ac:dyDescent="0.25">
      <c r="B25" s="317" t="s">
        <v>405</v>
      </c>
      <c r="C25" s="318" t="s">
        <v>1</v>
      </c>
      <c r="D25" s="318" t="s">
        <v>31</v>
      </c>
      <c r="E25" s="318" t="s">
        <v>32</v>
      </c>
      <c r="F25" s="318" t="s">
        <v>33</v>
      </c>
      <c r="G25" s="318" t="s">
        <v>34</v>
      </c>
      <c r="H25" s="318" t="s">
        <v>35</v>
      </c>
      <c r="I25" s="318" t="s">
        <v>36</v>
      </c>
      <c r="J25" s="319" t="s">
        <v>393</v>
      </c>
    </row>
    <row r="26" spans="2:14" hidden="1" x14ac:dyDescent="0.25">
      <c r="B26" s="322" t="s">
        <v>26</v>
      </c>
      <c r="C26" s="323" t="s">
        <v>37</v>
      </c>
      <c r="D26" s="324">
        <f t="shared" ref="D26:J26" si="0">SUM(D27:D30)</f>
        <v>38097.044900000001</v>
      </c>
      <c r="E26" s="324">
        <f t="shared" si="0"/>
        <v>38724.674143103504</v>
      </c>
      <c r="F26" s="324">
        <f t="shared" si="0"/>
        <v>38592.472695210483</v>
      </c>
      <c r="G26" s="324">
        <f t="shared" si="0"/>
        <v>126137.21724507661</v>
      </c>
      <c r="H26" s="324">
        <f t="shared" si="0"/>
        <v>125283.88437259683</v>
      </c>
      <c r="I26" s="324">
        <f t="shared" si="0"/>
        <v>130355.77325536104</v>
      </c>
      <c r="J26" s="325">
        <f t="shared" si="0"/>
        <v>131873.7589253211</v>
      </c>
    </row>
    <row r="27" spans="2:14" hidden="1" x14ac:dyDescent="0.25">
      <c r="B27" s="304" t="s">
        <v>5</v>
      </c>
      <c r="C27" s="305" t="s">
        <v>37</v>
      </c>
      <c r="D27" s="326">
        <f>2208.25*(1+'1. Sensitivity input'!D$10)</f>
        <v>2208.25</v>
      </c>
      <c r="E27" s="326">
        <f>'Input (raw)'!E74/1000000*(1+'1. Sensitivity input'!D$10)</f>
        <v>2208.25</v>
      </c>
      <c r="F27" s="326">
        <f>'Input (raw)'!F74/1000000*(1+'1. Sensitivity input'!E$10)</f>
        <v>2208.2499999999995</v>
      </c>
      <c r="G27" s="326">
        <f>'Input (raw)'!G74/1000000*(1+'1. Sensitivity input'!F$10)</f>
        <v>6884.9</v>
      </c>
      <c r="H27" s="326">
        <f>'Input (raw)'!H74/1000000*(1+'1. Sensitivity input'!G$10)</f>
        <v>20231.417114125707</v>
      </c>
      <c r="I27" s="326">
        <f>'Input (raw)'!I74/1000000*(1+'1. Sensitivity input'!H$10)</f>
        <v>20806.351783361046</v>
      </c>
      <c r="J27" s="327">
        <f>'Input (raw)'!J74/1000000*(1+'1. Sensitivity input'!I$10)</f>
        <v>21269.608945495831</v>
      </c>
      <c r="K27" s="403"/>
      <c r="M27" s="403"/>
      <c r="N27" s="403"/>
    </row>
    <row r="28" spans="2:14" hidden="1" x14ac:dyDescent="0.25">
      <c r="B28" s="304" t="s">
        <v>6</v>
      </c>
      <c r="C28" s="305" t="s">
        <v>37</v>
      </c>
      <c r="D28" s="326">
        <f>31568.7949*(1+'1. Sensitivity input'!D$10)</f>
        <v>31568.794900000001</v>
      </c>
      <c r="E28" s="326">
        <f>'Input (raw)'!E73/1000000*(1+'1. Sensitivity input'!D$10)</f>
        <v>32196.424143103508</v>
      </c>
      <c r="F28" s="326">
        <f>'Input (raw)'!F73/1000000*(1+'1. Sensitivity input'!E$10)</f>
        <v>31752.222695210487</v>
      </c>
      <c r="G28" s="326">
        <f>'Input (raw)'!G73/1000000*(1+'1. Sensitivity input'!F$10)</f>
        <v>26982.895773076609</v>
      </c>
      <c r="H28" s="326">
        <f>'Input (raw)'!H73/1000000*(1+'1. Sensitivity input'!G$10)</f>
        <v>12783.045786471119</v>
      </c>
      <c r="I28" s="326">
        <f>'Input (raw)'!I73/1000000*(1+'1. Sensitivity input'!H$10)</f>
        <v>17280</v>
      </c>
      <c r="J28" s="327">
        <f>'Input (raw)'!J73/1000000*(1+'1. Sensitivity input'!I$10)</f>
        <v>18334.728507825253</v>
      </c>
      <c r="K28" s="403"/>
      <c r="M28" s="403"/>
      <c r="N28" s="403"/>
    </row>
    <row r="29" spans="2:14" hidden="1" x14ac:dyDescent="0.25">
      <c r="B29" s="304" t="s">
        <v>319</v>
      </c>
      <c r="C29" s="305" t="s">
        <v>37</v>
      </c>
      <c r="D29" s="326">
        <f>4320*(1+'1. Sensitivity input'!D$10)</f>
        <v>4320</v>
      </c>
      <c r="E29" s="326">
        <f>'Input (raw)'!E75/1000000*(1+'1. Sensitivity input'!D$10)</f>
        <v>4320</v>
      </c>
      <c r="F29" s="326">
        <f>'Input (raw)'!F75/1000000*(1+'1. Sensitivity input'!E$10)</f>
        <v>4632</v>
      </c>
      <c r="G29" s="326">
        <f>'Input (raw)'!G75/1000000*(1+'1. Sensitivity input'!F$10)</f>
        <v>6168</v>
      </c>
      <c r="H29" s="326">
        <f>'Input (raw)'!H75/1000000*(1+'1. Sensitivity input'!G$10)</f>
        <v>6168</v>
      </c>
      <c r="I29" s="326">
        <f>'Input (raw)'!I75/1000000*(1+'1. Sensitivity input'!H$10)</f>
        <v>6168</v>
      </c>
      <c r="J29" s="327">
        <f>'Input (raw)'!J75/1000000*(1+'1. Sensitivity input'!I$10)</f>
        <v>6168</v>
      </c>
      <c r="K29" s="403"/>
      <c r="M29" s="403"/>
      <c r="N29" s="403"/>
    </row>
    <row r="30" spans="2:14" hidden="1" x14ac:dyDescent="0.25">
      <c r="B30" s="304" t="s">
        <v>9</v>
      </c>
      <c r="C30" s="305" t="s">
        <v>37</v>
      </c>
      <c r="D30" s="326">
        <f>IF('1. Sensitivity input'!$C$4="Without Baltic Pipe",0,'Input (raw)'!D21*(1+'1. Sensitivity input'!D$10))/1000</f>
        <v>0</v>
      </c>
      <c r="E30" s="326">
        <f>IF('1. Sensitivity input'!$C$4="Without Baltic Pipe",0,'Input (raw)'!E21*(1+'1. Sensitivity input'!E$10))/1000</f>
        <v>0</v>
      </c>
      <c r="F30" s="326">
        <f>IF('1. Sensitivity input'!$C$4="Without Baltic Pipe",0,'Input (raw)'!F21*(1+'1. Sensitivity input'!F$10))/1000</f>
        <v>0</v>
      </c>
      <c r="G30" s="326">
        <f>IF('1. Sensitivity input'!$C$4="Without Baltic Pipe",0,'Input (raw)'!G21*(1+'1. Sensitivity input'!G$10))/1000</f>
        <v>86101.421472000002</v>
      </c>
      <c r="H30" s="326">
        <f>IF('1. Sensitivity input'!$C$4="Without Baltic Pipe",0,'Input (raw)'!H21*(1+'1. Sensitivity input'!H$10))/1000</f>
        <v>86101.421472000002</v>
      </c>
      <c r="I30" s="326">
        <f>IF('1. Sensitivity input'!$C$4="Without Baltic Pipe",0,'Input (raw)'!I21*(1+'1. Sensitivity input'!I$10))/1000</f>
        <v>86101.421472000002</v>
      </c>
      <c r="J30" s="327">
        <f>IF('1. Sensitivity input'!$C$4="Without Baltic Pipe",0,'Input (raw)'!J21*(1+'1. Sensitivity input'!J$10))/1000</f>
        <v>86101.421472000002</v>
      </c>
      <c r="M30" s="403"/>
      <c r="N30" s="403"/>
    </row>
    <row r="31" spans="2:14" x14ac:dyDescent="0.25">
      <c r="B31" s="322" t="s">
        <v>8</v>
      </c>
      <c r="C31" s="323" t="s">
        <v>37</v>
      </c>
      <c r="D31" s="324">
        <f t="shared" ref="D31:J31" si="1">SUM(D32:D35)</f>
        <v>39934.472612035504</v>
      </c>
      <c r="E31" s="324">
        <f t="shared" si="1"/>
        <v>32801.983742960401</v>
      </c>
      <c r="F31" s="324">
        <f t="shared" si="1"/>
        <v>32801.983742960401</v>
      </c>
      <c r="G31" s="324">
        <f t="shared" si="1"/>
        <v>119285.1741332909</v>
      </c>
      <c r="H31" s="324">
        <f t="shared" si="1"/>
        <v>119929.3239019734</v>
      </c>
      <c r="I31" s="324">
        <f t="shared" si="1"/>
        <v>125933.38597458051</v>
      </c>
      <c r="J31" s="325">
        <f t="shared" si="1"/>
        <v>127072.09790457381</v>
      </c>
      <c r="M31" s="403"/>
      <c r="N31" s="403"/>
    </row>
    <row r="32" spans="2:14" x14ac:dyDescent="0.25">
      <c r="B32" s="304" t="s">
        <v>370</v>
      </c>
      <c r="C32" s="305" t="s">
        <v>37</v>
      </c>
      <c r="D32" s="326">
        <f>29044.4726120355*(1+'1. Sensitivity input'!D$10)</f>
        <v>29044.472612035501</v>
      </c>
      <c r="E32" s="326">
        <f>32801.9837429604*(1+'1. Sensitivity input'!E$10)</f>
        <v>32801.983742960401</v>
      </c>
      <c r="F32" s="326">
        <f>'Input (raw)'!F69/1000000*(1+'1. Sensitivity input'!F$10)</f>
        <v>32801.983742960401</v>
      </c>
      <c r="G32" s="326">
        <f>'Input (raw)'!G69/1000000*(1+'1. Sensitivity input'!G$10)</f>
        <v>33183.752661290899</v>
      </c>
      <c r="H32" s="326">
        <f>'Input (raw)'!H69/1000000*(1+'1. Sensitivity input'!H$10)</f>
        <v>32617.53715664415</v>
      </c>
      <c r="I32" s="326">
        <f>'Input (raw)'!I69/1000000*(1+'1. Sensitivity input'!I$10)</f>
        <v>31937.406852220247</v>
      </c>
      <c r="J32" s="327">
        <f>'Input (raw)'!J69/1000000*(1+'1. Sensitivity input'!J$10)</f>
        <v>30919.377205258414</v>
      </c>
      <c r="M32" s="403"/>
      <c r="N32" s="403"/>
    </row>
    <row r="33" spans="2:14" x14ac:dyDescent="0.25">
      <c r="B33" s="304" t="s">
        <v>11</v>
      </c>
      <c r="C33" s="305" t="s">
        <v>37</v>
      </c>
      <c r="D33" s="326">
        <f>10890*(1+'1. Sensitivity input'!D$10)</f>
        <v>10890</v>
      </c>
      <c r="E33" s="326">
        <f>'Input (raw)'!E70/1000000*(1+'1. Sensitivity input'!E$10)</f>
        <v>0</v>
      </c>
      <c r="F33" s="326">
        <f>'Input (raw)'!F70/1000000*(1+'1. Sensitivity input'!F$10)</f>
        <v>0</v>
      </c>
      <c r="G33" s="326">
        <f>'Input (raw)'!G70/1000000*(1+'1. Sensitivity input'!G$10)</f>
        <v>0</v>
      </c>
      <c r="H33" s="326">
        <f>'Input (raw)'!H70/1000000*(1+'1. Sensitivity input'!H$10)</f>
        <v>0</v>
      </c>
      <c r="I33" s="326">
        <f>'Input (raw)'!I70/1000000*(1+'1. Sensitivity input'!I$10)</f>
        <v>0</v>
      </c>
      <c r="J33" s="327">
        <f>'Input (raw)'!J70/1000000*(1+'1. Sensitivity input'!J$10)</f>
        <v>0</v>
      </c>
      <c r="M33" s="403"/>
      <c r="N33" s="403"/>
    </row>
    <row r="34" spans="2:14" x14ac:dyDescent="0.25">
      <c r="B34" s="304" t="s">
        <v>6</v>
      </c>
      <c r="C34" s="305" t="s">
        <v>37</v>
      </c>
      <c r="D34" s="326">
        <f>0*(1+'1. Sensitivity input'!D$10)</f>
        <v>0</v>
      </c>
      <c r="E34" s="326">
        <f>'Input (raw)'!E71/1000000*(1+'1. Sensitivity input'!E$10)</f>
        <v>0</v>
      </c>
      <c r="F34" s="326">
        <f>'Input (raw)'!F71/1000000*(1+'1. Sensitivity input'!F$10)</f>
        <v>0</v>
      </c>
      <c r="G34" s="326">
        <f>'Input (raw)'!G71/1000000*(1+'1. Sensitivity input'!G$10)</f>
        <v>0</v>
      </c>
      <c r="H34" s="326">
        <f>'Input (raw)'!H71/1000000*(1+'1. Sensitivity input'!H$10)</f>
        <v>1210.3652733292447</v>
      </c>
      <c r="I34" s="326">
        <f>'Input (raw)'!I71/1000000*(1+'1. Sensitivity input'!I$10)</f>
        <v>7894.5576503602697</v>
      </c>
      <c r="J34" s="327">
        <f>'Input (raw)'!J71/1000000*(1+'1. Sensitivity input'!J$10)</f>
        <v>10051.299227315381</v>
      </c>
      <c r="M34" s="403"/>
      <c r="N34" s="403"/>
    </row>
    <row r="35" spans="2:14" x14ac:dyDescent="0.25">
      <c r="B35" s="306" t="s">
        <v>9</v>
      </c>
      <c r="C35" s="307" t="s">
        <v>37</v>
      </c>
      <c r="D35" s="328">
        <f>IF('1. Sensitivity input'!$C$4="Without Baltic Pipe",0,'Input (raw)'!D26*(1+'1. Sensitivity input'!D$10))/1000</f>
        <v>0</v>
      </c>
      <c r="E35" s="328">
        <f>IF('1. Sensitivity input'!$C$4="Without Baltic Pipe",0,'Input (raw)'!E26*(1+'1. Sensitivity input'!E$10))/1000</f>
        <v>0</v>
      </c>
      <c r="F35" s="328">
        <f>IF('1. Sensitivity input'!$C$4="Without Baltic Pipe",0,'Input (raw)'!F26*(1+'1. Sensitivity input'!F$10))/1000</f>
        <v>0</v>
      </c>
      <c r="G35" s="328">
        <f>IF('1. Sensitivity input'!$C$4="Without Baltic Pipe",0,'Input (raw)'!G26*(1+'1. Sensitivity input'!G$10))/1000</f>
        <v>86101.421472000002</v>
      </c>
      <c r="H35" s="328">
        <f>IF('1. Sensitivity input'!$C$4="Without Baltic Pipe",0,'Input (raw)'!H26*(1+'1. Sensitivity input'!H$10))/1000</f>
        <v>86101.421472000002</v>
      </c>
      <c r="I35" s="328">
        <f>IF('1. Sensitivity input'!$C$4="Without Baltic Pipe",0,'Input (raw)'!I26*(1+'1. Sensitivity input'!I$10))/1000</f>
        <v>86101.421472000002</v>
      </c>
      <c r="J35" s="329">
        <f>IF('1. Sensitivity input'!$C$4="Without Baltic Pipe",0,'Input (raw)'!J26*(1+'1. Sensitivity input'!J$10))/1000</f>
        <v>86101.421472000002</v>
      </c>
      <c r="M35" s="403"/>
      <c r="N35" s="403"/>
    </row>
    <row r="36" spans="2:14" x14ac:dyDescent="0.25">
      <c r="B36" s="285" t="s">
        <v>371</v>
      </c>
      <c r="J36" s="305"/>
    </row>
    <row r="37" spans="2:14" x14ac:dyDescent="0.25">
      <c r="B37" s="314" t="s">
        <v>369</v>
      </c>
      <c r="C37" s="315"/>
      <c r="D37" s="315"/>
      <c r="E37" s="315"/>
      <c r="F37" s="315"/>
      <c r="G37" s="315"/>
      <c r="H37" s="315"/>
      <c r="I37" s="315"/>
      <c r="J37" s="316"/>
    </row>
    <row r="38" spans="2:14" x14ac:dyDescent="0.25">
      <c r="B38" s="317" t="s">
        <v>405</v>
      </c>
      <c r="C38" s="318" t="s">
        <v>1</v>
      </c>
      <c r="D38" s="318" t="s">
        <v>31</v>
      </c>
      <c r="E38" s="318" t="s">
        <v>32</v>
      </c>
      <c r="F38" s="318" t="s">
        <v>33</v>
      </c>
      <c r="G38" s="318" t="s">
        <v>34</v>
      </c>
      <c r="H38" s="318" t="s">
        <v>35</v>
      </c>
      <c r="I38" s="318" t="s">
        <v>36</v>
      </c>
      <c r="J38" s="319" t="s">
        <v>393</v>
      </c>
    </row>
    <row r="39" spans="2:14" x14ac:dyDescent="0.25">
      <c r="B39" s="322" t="s">
        <v>26</v>
      </c>
      <c r="C39" s="323" t="s">
        <v>28</v>
      </c>
      <c r="D39" s="330">
        <f t="shared" ref="D39:I39" si="2">SUM(D40:D43)</f>
        <v>4.8</v>
      </c>
      <c r="E39" s="330">
        <f t="shared" si="2"/>
        <v>4.4633330000000004</v>
      </c>
      <c r="F39" s="330">
        <f t="shared" si="2"/>
        <v>4.511078125</v>
      </c>
      <c r="G39" s="330">
        <f t="shared" si="2"/>
        <v>16.580549089041096</v>
      </c>
      <c r="H39" s="330">
        <f t="shared" si="2"/>
        <v>15.976467589041095</v>
      </c>
      <c r="I39" s="330">
        <f t="shared" si="2"/>
        <v>16.032017589041097</v>
      </c>
      <c r="J39" s="331">
        <f t="shared" ref="J39" si="3">SUM(J40:J43)</f>
        <v>15.788684255707761</v>
      </c>
      <c r="K39" s="332"/>
    </row>
    <row r="40" spans="2:14" x14ac:dyDescent="0.25">
      <c r="B40" s="304" t="s">
        <v>5</v>
      </c>
      <c r="C40" s="305" t="s">
        <v>28</v>
      </c>
      <c r="D40" s="333">
        <f>0.26*(1+'1. Sensitivity input'!D$9)</f>
        <v>0.26</v>
      </c>
      <c r="E40" s="333">
        <f>0.21*(1+'1. Sensitivity input'!E$9)</f>
        <v>0.21</v>
      </c>
      <c r="F40" s="333">
        <f>'Input (raw)'!G66/1000000*(1+'1. Sensitivity input'!F$9)</f>
        <v>0.21</v>
      </c>
      <c r="G40" s="333">
        <f>'Input (raw)'!H66/1000000*(1+'1. Sensitivity input'!G$9)</f>
        <v>2.2999999999999998</v>
      </c>
      <c r="H40" s="333">
        <f>'Input (raw)'!I66/1000000*(1+'1. Sensitivity input'!H$9)</f>
        <v>2.4</v>
      </c>
      <c r="I40" s="333">
        <f>'Input (raw)'!J66/1000000*(1+'1. Sensitivity input'!I$9)</f>
        <v>2.5625</v>
      </c>
      <c r="J40" s="334">
        <f>'Input (raw)'!K66/1000000*(1+'1. Sensitivity input'!J$9)</f>
        <v>2.5249999999999999</v>
      </c>
      <c r="K40" s="335"/>
      <c r="L40" s="335"/>
    </row>
    <row r="41" spans="2:14" x14ac:dyDescent="0.25">
      <c r="B41" s="304" t="s">
        <v>6</v>
      </c>
      <c r="C41" s="305" t="s">
        <v>28</v>
      </c>
      <c r="D41" s="333">
        <f>4.1*(1+'1. Sensitivity input'!D$9)</f>
        <v>4.0999999999999996</v>
      </c>
      <c r="E41" s="333">
        <f>3.608333*(1+'1. Sensitivity input'!E$9)</f>
        <v>3.608333</v>
      </c>
      <c r="F41" s="333">
        <f>'Input (raw)'!G65/1000000*(1+'1. Sensitivity input'!F$9)</f>
        <v>3.5160781249999999</v>
      </c>
      <c r="G41" s="333">
        <f>'Input (raw)'!H65/1000000*(1+'1. Sensitivity input'!G$9)</f>
        <v>2.4560314999999999</v>
      </c>
      <c r="H41" s="333">
        <f>'Input (raw)'!I65/1000000*(1+'1. Sensitivity input'!H$9)</f>
        <v>1.72695</v>
      </c>
      <c r="I41" s="333">
        <f>'Input (raw)'!J65/1000000*(1+'1. Sensitivity input'!I$9)</f>
        <v>1.5874999999999999</v>
      </c>
      <c r="J41" s="334">
        <f>'Input (raw)'!K65/1000000*(1+'1. Sensitivity input'!J$9)</f>
        <v>1.3416666666666668</v>
      </c>
      <c r="K41" s="335"/>
      <c r="L41" s="335"/>
    </row>
    <row r="42" spans="2:14" x14ac:dyDescent="0.25">
      <c r="B42" s="304" t="s">
        <v>319</v>
      </c>
      <c r="C42" s="305" t="s">
        <v>28</v>
      </c>
      <c r="D42" s="333">
        <f>0.44*(1+'1. Sensitivity input'!D$9)</f>
        <v>0.44</v>
      </c>
      <c r="E42" s="333">
        <f>0.645*(1+'1. Sensitivity input'!E$9)</f>
        <v>0.64500000000000002</v>
      </c>
      <c r="F42" s="333">
        <f>'Input (raw)'!G67/1000000*(1+'1. Sensitivity input'!F$9)</f>
        <v>0.78500000000000036</v>
      </c>
      <c r="G42" s="333">
        <f>'Input (raw)'!H67/1000000*(1+'1. Sensitivity input'!G$9)</f>
        <v>0.82999999999999985</v>
      </c>
      <c r="H42" s="333">
        <f>'Input (raw)'!I67/1000000*(1+'1. Sensitivity input'!H$9)</f>
        <v>0.85499999999999987</v>
      </c>
      <c r="I42" s="333">
        <f>'Input (raw)'!J67/1000000*(1+'1. Sensitivity input'!I$9)</f>
        <v>0.88750000000000007</v>
      </c>
      <c r="J42" s="334">
        <f>'Input (raw)'!K67/1000000*(1+'1. Sensitivity input'!J$9)</f>
        <v>0.9275000000000001</v>
      </c>
      <c r="K42" s="335"/>
      <c r="L42" s="335"/>
    </row>
    <row r="43" spans="2:14" x14ac:dyDescent="0.25">
      <c r="B43" s="304" t="s">
        <v>9</v>
      </c>
      <c r="C43" s="305" t="s">
        <v>28</v>
      </c>
      <c r="D43" s="336">
        <f>IF('1. Sensitivity input'!$C$4="Without Baltic Pipe",0,'Input (raw)'!D8*(1+'1. Sensitivity input'!D$9)/365/24)/1000</f>
        <v>0</v>
      </c>
      <c r="E43" s="336">
        <f>IF('1. Sensitivity input'!$C$4="Without Baltic Pipe",0,'Input (raw)'!E8*(1+'1. Sensitivity input'!E$9)/365/24)/1000</f>
        <v>0</v>
      </c>
      <c r="F43" s="336">
        <f>IF('1. Sensitivity input'!$C$4="Without Baltic Pipe",0,'Input (raw)'!F8*(1+'1. Sensitivity input'!F$9)/365/24)/1000</f>
        <v>0</v>
      </c>
      <c r="G43" s="336">
        <f>IF('1. Sensitivity input'!$C$4="Without Baltic Pipe",0,'Input (raw)'!G8*(1+'1. Sensitivity input'!G$9)/365/24)/1000</f>
        <v>10.994517589041095</v>
      </c>
      <c r="H43" s="336">
        <f>IF('1. Sensitivity input'!$C$4="Without Baltic Pipe",0,'Input (raw)'!H8*(1+'1. Sensitivity input'!H$9)/365/24)/1000</f>
        <v>10.994517589041095</v>
      </c>
      <c r="I43" s="336">
        <f>IF('1. Sensitivity input'!$C$4="Without Baltic Pipe",0,'Input (raw)'!I8*(1+'1. Sensitivity input'!I$9)/365/24)/1000</f>
        <v>10.994517589041095</v>
      </c>
      <c r="J43" s="337">
        <f>IF('1. Sensitivity input'!$C$4="Without Baltic Pipe",0,'Input (raw)'!J8*(1+'1. Sensitivity input'!J$9)/365/24)/1000</f>
        <v>10.994517589041095</v>
      </c>
      <c r="K43" s="335"/>
      <c r="L43" s="335"/>
    </row>
    <row r="44" spans="2:14" x14ac:dyDescent="0.25">
      <c r="B44" s="322" t="s">
        <v>8</v>
      </c>
      <c r="C44" s="323" t="s">
        <v>28</v>
      </c>
      <c r="D44" s="330">
        <f t="shared" ref="D44:I44" si="4">SUM(D45:D48)</f>
        <v>4.7333333333333298</v>
      </c>
      <c r="E44" s="330">
        <f t="shared" si="4"/>
        <v>3.733333</v>
      </c>
      <c r="F44" s="330">
        <f t="shared" si="4"/>
        <v>3.7</v>
      </c>
      <c r="G44" s="330">
        <f t="shared" si="4"/>
        <v>14.768684255707761</v>
      </c>
      <c r="H44" s="330">
        <f t="shared" si="4"/>
        <v>15.461184255707762</v>
      </c>
      <c r="I44" s="330">
        <f t="shared" si="4"/>
        <v>15.590350922374428</v>
      </c>
      <c r="J44" s="331">
        <f t="shared" ref="J44" si="5">SUM(J45:J48)</f>
        <v>15.315350922374428</v>
      </c>
      <c r="K44" s="335"/>
      <c r="L44" s="335"/>
    </row>
    <row r="45" spans="2:14" x14ac:dyDescent="0.25">
      <c r="B45" s="304" t="s">
        <v>318</v>
      </c>
      <c r="C45" s="305" t="s">
        <v>28</v>
      </c>
      <c r="D45" s="333">
        <f>4.73333333333333*(1+'1. Sensitivity input'!D$9)</f>
        <v>4.7333333333333298</v>
      </c>
      <c r="E45" s="333">
        <f>3.733333*(1+'1. Sensitivity input'!E$9)</f>
        <v>3.733333</v>
      </c>
      <c r="F45" s="333">
        <f>'Input (raw)'!G62/1000000*(1+'1. Sensitivity input'!F$9)</f>
        <v>3.7</v>
      </c>
      <c r="G45" s="333">
        <f>'Input (raw)'!H62/1000000*(1+'1. Sensitivity input'!G$9)</f>
        <v>3.6291666666666664</v>
      </c>
      <c r="H45" s="333">
        <f>'Input (raw)'!I62/1000000*(1+'1. Sensitivity input'!H$9)</f>
        <v>3.5166666666666666</v>
      </c>
      <c r="I45" s="333">
        <f>'Input (raw)'!J62/1000000*(1+'1. Sensitivity input'!I$9)</f>
        <v>3.3958333333333335</v>
      </c>
      <c r="J45" s="334">
        <f>'Input (raw)'!K62/1000000*(1+'1. Sensitivity input'!J$9)</f>
        <v>3.1208333333333336</v>
      </c>
      <c r="K45" s="335"/>
      <c r="L45" s="335"/>
    </row>
    <row r="46" spans="2:14" x14ac:dyDescent="0.25">
      <c r="B46" s="304" t="s">
        <v>11</v>
      </c>
      <c r="C46" s="305" t="s">
        <v>28</v>
      </c>
      <c r="D46" s="333">
        <f>0*(1+'1. Sensitivity input'!D$9)</f>
        <v>0</v>
      </c>
      <c r="E46" s="333">
        <f>'Input (raw)'!F63/1000000*(1+'1. Sensitivity input'!E$9)</f>
        <v>0</v>
      </c>
      <c r="F46" s="333">
        <f>'Input (raw)'!G63/1000000*(1+'1. Sensitivity input'!F$9)</f>
        <v>0</v>
      </c>
      <c r="G46" s="333">
        <f>'Input (raw)'!H63/1000000*(1+'1. Sensitivity input'!G$9)</f>
        <v>0</v>
      </c>
      <c r="H46" s="333">
        <f>'Input (raw)'!I63/1000000*(1+'1. Sensitivity input'!H$9)</f>
        <v>0</v>
      </c>
      <c r="I46" s="333">
        <f>'Input (raw)'!J63/1000000*(1+'1. Sensitivity input'!I$9)</f>
        <v>0</v>
      </c>
      <c r="J46" s="334">
        <f>'Input (raw)'!K63/1000000*(1+'1. Sensitivity input'!J$9)</f>
        <v>0</v>
      </c>
      <c r="K46" s="335"/>
      <c r="L46" s="335"/>
    </row>
    <row r="47" spans="2:14" x14ac:dyDescent="0.25">
      <c r="B47" s="304" t="s">
        <v>6</v>
      </c>
      <c r="C47" s="305" t="s">
        <v>28</v>
      </c>
      <c r="D47" s="333">
        <f>0*(1+'1. Sensitivity input'!D$9)</f>
        <v>0</v>
      </c>
      <c r="E47" s="333">
        <f>'Input (raw)'!F64/1000000*(1+'1. Sensitivity input'!E$9)</f>
        <v>0</v>
      </c>
      <c r="F47" s="333">
        <f>'Input (raw)'!G64/1000000*(1+'1. Sensitivity input'!F$9)</f>
        <v>0</v>
      </c>
      <c r="G47" s="333">
        <f>'Input (raw)'!H64/1000000*(1+'1. Sensitivity input'!G$9)</f>
        <v>0.14499999999999999</v>
      </c>
      <c r="H47" s="333">
        <f>'Input (raw)'!I64/1000000*(1+'1. Sensitivity input'!H$9)</f>
        <v>0.95</v>
      </c>
      <c r="I47" s="333">
        <f>'Input (raw)'!J64/1000000*(1+'1. Sensitivity input'!I$9)</f>
        <v>1.2</v>
      </c>
      <c r="J47" s="334">
        <f>'Input (raw)'!K64/1000000*(1+'1. Sensitivity input'!J$9)</f>
        <v>1.2</v>
      </c>
      <c r="K47" s="335"/>
      <c r="L47" s="335"/>
    </row>
    <row r="48" spans="2:14" x14ac:dyDescent="0.25">
      <c r="B48" s="306" t="s">
        <v>9</v>
      </c>
      <c r="C48" s="307" t="s">
        <v>28</v>
      </c>
      <c r="D48" s="338">
        <f>0*(1+'1. Sensitivity input'!D$9)</f>
        <v>0</v>
      </c>
      <c r="E48" s="338">
        <f>IF('1. Sensitivity input'!$C$4="Without Baltic Pipe",0,'Input (raw)'!E13*(1+'1. Sensitivity input'!E$9)/365/24)/1000</f>
        <v>0</v>
      </c>
      <c r="F48" s="338">
        <f>IF('1. Sensitivity input'!$C$4="Without Baltic Pipe",0,'Input (raw)'!F13*(1+'1. Sensitivity input'!F$9)/365/24)/1000</f>
        <v>0</v>
      </c>
      <c r="G48" s="338">
        <f>IF('1. Sensitivity input'!$C$4="Without Baltic Pipe",0,'Input (raw)'!G13*(1+'1. Sensitivity input'!G$9)/365/24)/1000</f>
        <v>10.994517589041095</v>
      </c>
      <c r="H48" s="338">
        <f>IF('1. Sensitivity input'!$C$4="Without Baltic Pipe",0,'Input (raw)'!H13*(1+'1. Sensitivity input'!H$9)/365/24)/1000</f>
        <v>10.994517589041095</v>
      </c>
      <c r="I48" s="338">
        <f>IF('1. Sensitivity input'!$C$4="Without Baltic Pipe",0,'Input (raw)'!I13*(1+'1. Sensitivity input'!I$9)/365/24)/1000</f>
        <v>10.994517589041095</v>
      </c>
      <c r="J48" s="339">
        <f>IF('1. Sensitivity input'!$C$4="Without Baltic Pipe",0,'Input (raw)'!J13*(1+'1. Sensitivity input'!J$9)/365/24)/1000</f>
        <v>10.994517589041095</v>
      </c>
    </row>
    <row r="49" spans="3:9" x14ac:dyDescent="0.25">
      <c r="C49" s="305"/>
      <c r="D49" s="326"/>
      <c r="E49" s="326"/>
      <c r="F49" s="326"/>
      <c r="G49" s="326"/>
      <c r="H49" s="326"/>
      <c r="I49" s="326"/>
    </row>
  </sheetData>
  <sheetProtection algorithmName="SHA-512" hashValue="mT2McNKVFco59GImsvJBfoS6XCb4GNvo93jQ8QCOhfgid8t59WPN30qwh4UXg5x2sH1VbukPvH2qUMFuwjNGrQ==" saltValue="C1nw6dP9CpZk32w382/akw==" spinCount="100000" sheet="1" selectLockedCells="1" selectUnlockedCells="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0000"/>
  </sheetPr>
  <dimension ref="A1:R122"/>
  <sheetViews>
    <sheetView topLeftCell="A91" zoomScaleNormal="100" workbookViewId="0">
      <selection activeCell="A25" sqref="A25"/>
    </sheetView>
  </sheetViews>
  <sheetFormatPr defaultColWidth="9.140625" defaultRowHeight="15" x14ac:dyDescent="0.25"/>
  <cols>
    <col min="1" max="1" width="9.140625" style="53"/>
    <col min="2" max="2" width="19.42578125" style="53" customWidth="1"/>
    <col min="3" max="3" width="9.140625" style="53"/>
    <col min="4" max="4" width="14.5703125" style="53" customWidth="1"/>
    <col min="5" max="5" width="13.42578125" style="53" customWidth="1"/>
    <col min="6" max="6" width="11.140625" style="53" customWidth="1"/>
    <col min="7" max="7" width="12.42578125" style="53" customWidth="1"/>
    <col min="8" max="9" width="9.140625" style="53"/>
    <col min="10" max="10" width="17.85546875" style="53" customWidth="1"/>
    <col min="11" max="12" width="9.140625" style="53"/>
    <col min="13" max="13" width="10.5703125" style="53" customWidth="1"/>
    <col min="14" max="14" width="9.140625" style="53" customWidth="1"/>
    <col min="15"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Capacities'!F16*10^(-3)</f>
        <v>2400</v>
      </c>
      <c r="F18" s="61"/>
      <c r="G18" s="60"/>
      <c r="H18" s="60"/>
      <c r="I18" s="60"/>
      <c r="J18" s="61" t="s">
        <v>68</v>
      </c>
      <c r="K18" s="61">
        <v>56.8</v>
      </c>
      <c r="L18" s="61">
        <v>0</v>
      </c>
      <c r="M18" s="61">
        <f>'Forecasted Capacities'!F13*10^(-3)</f>
        <v>950</v>
      </c>
      <c r="N18" s="64"/>
      <c r="R18" s="62"/>
    </row>
    <row r="19" spans="1:18" x14ac:dyDescent="0.25">
      <c r="B19" s="61" t="s">
        <v>73</v>
      </c>
      <c r="C19" s="61">
        <v>56.8</v>
      </c>
      <c r="D19" s="61">
        <v>93</v>
      </c>
      <c r="E19" s="61">
        <f>'Forecasted Capacities'!F18*10^(-3)</f>
        <v>854.99999999999989</v>
      </c>
      <c r="F19" s="61"/>
      <c r="G19" s="60"/>
      <c r="H19" s="60"/>
      <c r="I19" s="60"/>
      <c r="J19" s="61" t="s">
        <v>66</v>
      </c>
      <c r="K19" s="61">
        <v>275.39999999999998</v>
      </c>
      <c r="L19" s="61">
        <v>93</v>
      </c>
      <c r="M19" s="61">
        <f>'Forecasted Capacities'!F12*10^(-3)</f>
        <v>1E-3</v>
      </c>
      <c r="N19" s="61"/>
      <c r="R19" s="62"/>
    </row>
    <row r="20" spans="1:18" x14ac:dyDescent="0.25">
      <c r="B20" s="61" t="s">
        <v>68</v>
      </c>
      <c r="C20" s="61">
        <v>56.8</v>
      </c>
      <c r="D20" s="61">
        <v>0</v>
      </c>
      <c r="E20" s="61">
        <f>'Forecasted Capacities'!F17*10^(-3)</f>
        <v>1726.95</v>
      </c>
      <c r="F20" s="61"/>
      <c r="G20" s="60"/>
      <c r="H20" s="60"/>
      <c r="I20" s="60"/>
      <c r="J20" s="61" t="s">
        <v>64</v>
      </c>
      <c r="K20" s="61">
        <v>190</v>
      </c>
      <c r="L20" s="61">
        <v>93</v>
      </c>
      <c r="M20" s="61">
        <f>'Forecasted Capacities'!F11*10^(-3)</f>
        <v>3516.6666666666665</v>
      </c>
      <c r="N20" s="61"/>
      <c r="R20" s="62"/>
    </row>
    <row r="21" spans="1:18" x14ac:dyDescent="0.25">
      <c r="B21" s="61" t="s">
        <v>96</v>
      </c>
      <c r="C21" s="61">
        <v>97.8</v>
      </c>
      <c r="D21" s="61">
        <v>93</v>
      </c>
      <c r="E21" s="61">
        <f>'Forecasted Capacities'!F22*10^(-3)</f>
        <v>7000</v>
      </c>
      <c r="F21" s="61"/>
      <c r="G21" s="60"/>
      <c r="H21" s="60"/>
      <c r="I21" s="60"/>
      <c r="J21" s="61" t="s">
        <v>96</v>
      </c>
      <c r="K21" s="61">
        <v>97.8</v>
      </c>
      <c r="L21" s="61">
        <v>93</v>
      </c>
      <c r="M21" s="61">
        <f>'Forecasted Capacities'!F21*10^(-3)</f>
        <v>4000</v>
      </c>
      <c r="N21" s="61"/>
      <c r="R21" s="62"/>
    </row>
    <row r="22" spans="1:18" x14ac:dyDescent="0.25">
      <c r="B22" s="61" t="s">
        <v>79</v>
      </c>
      <c r="C22" s="233">
        <v>0</v>
      </c>
      <c r="D22" s="233">
        <v>150</v>
      </c>
      <c r="E22" s="61">
        <f>'Forecasted Capacities'!F19*10^(-3)</f>
        <v>10994.517589041096</v>
      </c>
      <c r="F22" s="60"/>
      <c r="G22" s="60"/>
      <c r="H22" s="60"/>
      <c r="I22" s="60"/>
      <c r="J22" s="61" t="s">
        <v>77</v>
      </c>
      <c r="K22" s="233">
        <v>200</v>
      </c>
      <c r="L22" s="233">
        <v>50</v>
      </c>
      <c r="M22" s="61">
        <f>'Forecasted Capacities'!F14*10^(-3)</f>
        <v>10994.517589041096</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22976.467589041094</v>
      </c>
      <c r="F24" s="60"/>
      <c r="G24" s="60"/>
      <c r="H24" s="60"/>
      <c r="I24" s="60"/>
      <c r="J24" s="60"/>
      <c r="K24" s="60"/>
      <c r="L24" s="60"/>
      <c r="M24" s="65">
        <f>SUM(M18:M22)</f>
        <v>19461.185255707762</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'25. Current tariff method 24'!B13+'25. Current tariff method 24'!B14</f>
        <v>962.53583419482538</v>
      </c>
      <c r="F26" s="60"/>
      <c r="G26" s="60"/>
      <c r="H26" s="60"/>
      <c r="I26" s="60"/>
      <c r="J26" s="60"/>
      <c r="K26" s="60"/>
      <c r="L26" s="60"/>
      <c r="M26" s="60"/>
      <c r="N26" s="60"/>
    </row>
    <row r="27" spans="1:18" x14ac:dyDescent="0.25">
      <c r="A27" s="63" t="s">
        <v>99</v>
      </c>
      <c r="B27" s="60"/>
      <c r="C27" s="61" t="s">
        <v>100</v>
      </c>
      <c r="D27" s="60"/>
      <c r="E27" s="61">
        <f>'25. Current tariff method 24'!B14</f>
        <v>673.77508393637777</v>
      </c>
      <c r="F27" s="60"/>
      <c r="G27" s="60"/>
      <c r="H27" s="60"/>
      <c r="I27" s="60"/>
      <c r="J27" s="60"/>
      <c r="K27" s="60"/>
      <c r="L27" s="60"/>
      <c r="M27" s="60"/>
      <c r="N27" s="60"/>
    </row>
    <row r="28" spans="1:18" x14ac:dyDescent="0.25">
      <c r="A28" s="63" t="s">
        <v>101</v>
      </c>
      <c r="B28" s="60"/>
      <c r="C28" s="61" t="s">
        <v>102</v>
      </c>
      <c r="D28" s="61"/>
      <c r="E28" s="61">
        <v>0.5</v>
      </c>
      <c r="F28" s="60"/>
      <c r="G28" s="60"/>
      <c r="H28" s="60"/>
      <c r="I28" s="60"/>
      <c r="J28" s="60"/>
      <c r="K28" s="60"/>
      <c r="L28" s="60"/>
      <c r="M28" s="60"/>
      <c r="N28" s="60"/>
    </row>
    <row r="29" spans="1:18" x14ac:dyDescent="0.25">
      <c r="A29" s="63" t="s">
        <v>101</v>
      </c>
      <c r="B29" s="60"/>
      <c r="C29" s="61" t="s">
        <v>103</v>
      </c>
      <c r="D29" s="61"/>
      <c r="E29" s="61">
        <f>E27*E28</f>
        <v>336.88754196818888</v>
      </c>
      <c r="F29" s="60"/>
      <c r="G29" s="60"/>
      <c r="H29" s="60"/>
      <c r="I29" s="60"/>
      <c r="J29" s="60"/>
      <c r="K29" s="60"/>
      <c r="L29" s="60"/>
      <c r="N29" s="60"/>
    </row>
    <row r="30" spans="1:18" x14ac:dyDescent="0.25">
      <c r="B30" s="60"/>
      <c r="C30" s="61" t="s">
        <v>104</v>
      </c>
      <c r="D30" s="61"/>
      <c r="E30" s="61">
        <f>E27*(1-E28)</f>
        <v>336.88754196818888</v>
      </c>
      <c r="F30" s="60"/>
      <c r="G30" s="60"/>
      <c r="H30" s="60"/>
      <c r="I30" s="60"/>
      <c r="J30" s="60"/>
      <c r="K30" s="60"/>
      <c r="L30" s="60"/>
      <c r="M30" s="60"/>
      <c r="N30" s="60"/>
    </row>
    <row r="31" spans="1:18" x14ac:dyDescent="0.25">
      <c r="B31" s="60"/>
      <c r="C31" s="61" t="s">
        <v>105</v>
      </c>
      <c r="D31" s="60"/>
      <c r="E31" s="61">
        <f>'25. Current tariff method 24'!B13</f>
        <v>288.76075025844767</v>
      </c>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$M18</f>
        <v>950</v>
      </c>
      <c r="L37" s="62">
        <f t="shared" ref="K37:L41" si="0">$M18</f>
        <v>950</v>
      </c>
      <c r="M37" s="62">
        <v>0</v>
      </c>
      <c r="N37" s="62">
        <f>$M18</f>
        <v>950</v>
      </c>
      <c r="O37" s="62">
        <f t="shared" ref="O37:P41" si="1">$M18</f>
        <v>950</v>
      </c>
      <c r="P37" s="62">
        <f t="shared" si="1"/>
        <v>950</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1E-3</v>
      </c>
      <c r="L38" s="62">
        <f t="shared" si="0"/>
        <v>1E-3</v>
      </c>
      <c r="M38" s="62">
        <f>$M19</f>
        <v>1E-3</v>
      </c>
      <c r="N38" s="62">
        <f>$M19</f>
        <v>1E-3</v>
      </c>
      <c r="O38" s="62">
        <f t="shared" si="1"/>
        <v>1E-3</v>
      </c>
      <c r="P38" s="62">
        <f t="shared" si="1"/>
        <v>1E-3</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3516.6666666666665</v>
      </c>
      <c r="L39" s="62">
        <f t="shared" si="0"/>
        <v>3516.6666666666665</v>
      </c>
      <c r="M39" s="62">
        <f>$M20</f>
        <v>3516.6666666666665</v>
      </c>
      <c r="N39" s="62">
        <f>$M20</f>
        <v>3516.6666666666665</v>
      </c>
      <c r="O39" s="62">
        <f t="shared" si="1"/>
        <v>3516.6666666666665</v>
      </c>
      <c r="P39" s="62">
        <f t="shared" si="1"/>
        <v>3516.6666666666665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4000</v>
      </c>
      <c r="L40" s="62">
        <f t="shared" si="0"/>
        <v>4000</v>
      </c>
      <c r="M40" s="62">
        <f>$M21</f>
        <v>4000</v>
      </c>
      <c r="N40" s="62">
        <v>0</v>
      </c>
      <c r="O40" s="62">
        <f t="shared" si="1"/>
        <v>4000</v>
      </c>
      <c r="P40" s="62">
        <f t="shared" si="1"/>
        <v>4000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10994.517589041096</v>
      </c>
      <c r="L41" s="62">
        <f t="shared" si="0"/>
        <v>10994.517589041096</v>
      </c>
      <c r="M41" s="62">
        <f>$M22</f>
        <v>10994.517589041096</v>
      </c>
      <c r="N41" s="62">
        <f>$M22</f>
        <v>10994.517589041096</v>
      </c>
      <c r="O41" s="62">
        <f t="shared" si="1"/>
        <v>10994.517589041096</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19461.185255707762</v>
      </c>
      <c r="L43" s="70">
        <f t="shared" ref="L43:P43" si="2">SUM(L37:L41)</f>
        <v>19461.185255707762</v>
      </c>
      <c r="M43" s="70">
        <f t="shared" si="2"/>
        <v>18511.185255707762</v>
      </c>
      <c r="N43" s="70">
        <f t="shared" si="2"/>
        <v>15461.185255707762</v>
      </c>
      <c r="O43" s="70">
        <f>SUM(O37:O41)</f>
        <v>19461.185255707762</v>
      </c>
      <c r="P43" s="70">
        <f t="shared" si="2"/>
        <v>8466.6676666666663</v>
      </c>
    </row>
    <row r="45" spans="1:16" x14ac:dyDescent="0.25">
      <c r="B45" s="68" t="s">
        <v>110</v>
      </c>
      <c r="C45" s="68"/>
      <c r="D45" s="68"/>
      <c r="E45" s="68" t="s">
        <v>111</v>
      </c>
      <c r="F45" s="68"/>
      <c r="G45" s="68"/>
      <c r="H45" s="68" t="s">
        <v>112</v>
      </c>
      <c r="I45" s="68"/>
      <c r="J45" s="68" t="s">
        <v>113</v>
      </c>
      <c r="K45" s="68"/>
    </row>
    <row r="46" spans="1:16" x14ac:dyDescent="0.25">
      <c r="A46" s="63" t="s">
        <v>114</v>
      </c>
      <c r="B46" s="62"/>
      <c r="C46" s="69" t="s">
        <v>115</v>
      </c>
      <c r="D46" s="69"/>
      <c r="E46" s="69" t="s">
        <v>116</v>
      </c>
      <c r="F46" s="62"/>
      <c r="G46" s="62"/>
      <c r="H46" s="69" t="s">
        <v>117</v>
      </c>
      <c r="I46" s="62"/>
      <c r="J46" s="69" t="s">
        <v>118</v>
      </c>
      <c r="K46" s="69" t="s">
        <v>8</v>
      </c>
    </row>
    <row r="47" spans="1:16" x14ac:dyDescent="0.25">
      <c r="B47" s="62" t="s">
        <v>70</v>
      </c>
      <c r="C47" s="62">
        <f>MMULT(C37:G37,K37:K41)/K43</f>
        <v>199.02922999346308</v>
      </c>
      <c r="D47" s="62"/>
      <c r="E47" s="62">
        <f>SUMPRODUCT(C47:C52,E18:E23)</f>
        <v>4663774.0871174466</v>
      </c>
      <c r="F47" s="62"/>
      <c r="G47" s="62"/>
      <c r="H47" s="62">
        <f>E18*C47/$E$47</f>
        <v>0.1024213744194343</v>
      </c>
      <c r="I47" s="62"/>
      <c r="J47" s="69" t="s">
        <v>26</v>
      </c>
      <c r="K47" s="62" t="s">
        <v>68</v>
      </c>
      <c r="L47" s="62" t="s">
        <v>66</v>
      </c>
      <c r="M47" s="62" t="s">
        <v>64</v>
      </c>
      <c r="N47" s="62" t="s">
        <v>96</v>
      </c>
      <c r="O47" s="62" t="s">
        <v>77</v>
      </c>
    </row>
    <row r="48" spans="1:16" x14ac:dyDescent="0.25">
      <c r="B48" s="62" t="s">
        <v>73</v>
      </c>
      <c r="C48" s="62">
        <f>MMULT(C38:G38,L37:L41)/L43</f>
        <v>142.22922999346306</v>
      </c>
      <c r="D48" s="62"/>
      <c r="E48" s="62"/>
      <c r="F48" s="62"/>
      <c r="G48" s="62"/>
      <c r="H48" s="62">
        <f t="shared" ref="H48:H52" si="3">E19*C48/$E$47</f>
        <v>2.6074588814307749E-2</v>
      </c>
      <c r="I48" s="62"/>
      <c r="J48" s="62" t="s">
        <v>70</v>
      </c>
      <c r="K48" s="62">
        <f t="shared" ref="K48:O49" si="4">$E18</f>
        <v>2400</v>
      </c>
      <c r="L48" s="62">
        <f t="shared" si="4"/>
        <v>2400</v>
      </c>
      <c r="M48" s="62">
        <f t="shared" si="4"/>
        <v>2400</v>
      </c>
      <c r="N48" s="62">
        <f t="shared" si="4"/>
        <v>2400</v>
      </c>
      <c r="O48" s="62">
        <f t="shared" si="4"/>
        <v>2400</v>
      </c>
    </row>
    <row r="49" spans="2:15" x14ac:dyDescent="0.25">
      <c r="B49" s="62" t="s">
        <v>68</v>
      </c>
      <c r="C49" s="62">
        <f>MMULT(C39:G39,M37:M41)/M43</f>
        <v>186.67692328006021</v>
      </c>
      <c r="D49" s="62"/>
      <c r="E49" s="62"/>
      <c r="F49" s="62"/>
      <c r="G49" s="62"/>
      <c r="H49" s="62">
        <f t="shared" si="3"/>
        <v>6.912464168215221E-2</v>
      </c>
      <c r="I49" s="62"/>
      <c r="J49" s="62" t="s">
        <v>73</v>
      </c>
      <c r="K49" s="62">
        <f t="shared" si="4"/>
        <v>854.99999999999989</v>
      </c>
      <c r="L49" s="62">
        <f t="shared" si="4"/>
        <v>854.99999999999989</v>
      </c>
      <c r="M49" s="62">
        <f t="shared" si="4"/>
        <v>854.99999999999989</v>
      </c>
      <c r="N49" s="62">
        <f t="shared" si="4"/>
        <v>854.99999999999989</v>
      </c>
      <c r="O49" s="62">
        <f t="shared" si="4"/>
        <v>854.99999999999989</v>
      </c>
    </row>
    <row r="50" spans="2:15" x14ac:dyDescent="0.25">
      <c r="B50" s="62" t="s">
        <v>96</v>
      </c>
      <c r="C50" s="62">
        <f>MMULT(C40:G40,N37:N41)/N43</f>
        <v>132.45690833692078</v>
      </c>
      <c r="D50" s="62"/>
      <c r="E50" s="62"/>
      <c r="F50" s="62"/>
      <c r="G50" s="62"/>
      <c r="H50" s="62">
        <f t="shared" si="3"/>
        <v>0.19880859171965634</v>
      </c>
      <c r="I50" s="62"/>
      <c r="J50" s="62" t="s">
        <v>68</v>
      </c>
      <c r="K50" s="62">
        <v>0</v>
      </c>
      <c r="L50" s="62">
        <f>$E20</f>
        <v>1726.95</v>
      </c>
      <c r="M50" s="62">
        <f>$E20</f>
        <v>1726.95</v>
      </c>
      <c r="N50" s="62">
        <f>$E20</f>
        <v>1726.95</v>
      </c>
      <c r="O50" s="62">
        <f>$E20</f>
        <v>1726.95</v>
      </c>
    </row>
    <row r="51" spans="2:15" x14ac:dyDescent="0.25">
      <c r="B51" s="62" t="s">
        <v>79</v>
      </c>
      <c r="C51" s="62">
        <f>MMULT(C41:G41,O37:O41)/O43</f>
        <v>256.0292299934631</v>
      </c>
      <c r="H51" s="62">
        <f t="shared" si="3"/>
        <v>0.60357080336444924</v>
      </c>
      <c r="J51" s="62" t="s">
        <v>96</v>
      </c>
      <c r="K51" s="62">
        <f>$E21</f>
        <v>7000</v>
      </c>
      <c r="L51" s="62">
        <f>$E21</f>
        <v>7000</v>
      </c>
      <c r="M51" s="62">
        <f>$E21</f>
        <v>7000</v>
      </c>
      <c r="N51" s="62">
        <v>0</v>
      </c>
      <c r="O51" s="62">
        <f>$E21</f>
        <v>7000</v>
      </c>
    </row>
    <row r="52" spans="2:15" x14ac:dyDescent="0.25">
      <c r="B52" s="62" t="s">
        <v>77</v>
      </c>
      <c r="C52" s="62">
        <f>MMULT(C42:G42,P37:P41)/P43</f>
        <v>122.72519633954374</v>
      </c>
      <c r="H52" s="62">
        <f t="shared" si="3"/>
        <v>0</v>
      </c>
      <c r="J52" s="62" t="s">
        <v>79</v>
      </c>
      <c r="K52" s="62">
        <f>$E22</f>
        <v>10994.517589041096</v>
      </c>
      <c r="L52" s="62">
        <f t="shared" ref="L52:O53" si="5">$E22</f>
        <v>10994.517589041096</v>
      </c>
      <c r="M52" s="62">
        <f t="shared" si="5"/>
        <v>10994.517589041096</v>
      </c>
      <c r="N52" s="62">
        <f t="shared" si="5"/>
        <v>10994.517589041096</v>
      </c>
      <c r="O52" s="62">
        <f t="shared" si="5"/>
        <v>10994.517589041096</v>
      </c>
    </row>
    <row r="53" spans="2:15" x14ac:dyDescent="0.25">
      <c r="C53" s="62"/>
      <c r="H53" s="62"/>
      <c r="J53" s="62" t="s">
        <v>77</v>
      </c>
      <c r="K53" s="62">
        <f>$E23</f>
        <v>0</v>
      </c>
      <c r="L53" s="62">
        <f t="shared" si="5"/>
        <v>0</v>
      </c>
      <c r="M53" s="62">
        <f t="shared" si="5"/>
        <v>0</v>
      </c>
      <c r="N53" s="62">
        <f t="shared" si="5"/>
        <v>0</v>
      </c>
      <c r="O53" s="62">
        <v>0</v>
      </c>
    </row>
    <row r="54" spans="2:15" x14ac:dyDescent="0.25">
      <c r="C54" s="62"/>
      <c r="H54" s="62"/>
      <c r="J54" s="62"/>
      <c r="K54" s="62"/>
      <c r="L54" s="62"/>
      <c r="M54" s="62"/>
      <c r="N54" s="62"/>
    </row>
    <row r="55" spans="2:15" x14ac:dyDescent="0.25">
      <c r="J55" s="70" t="s">
        <v>14</v>
      </c>
      <c r="K55" s="70">
        <f>SUM(K48:K53)</f>
        <v>21249.517589041097</v>
      </c>
      <c r="L55" s="70">
        <f t="shared" ref="L55:O55" si="6">SUM(L48:L53)</f>
        <v>22976.467589041094</v>
      </c>
      <c r="M55" s="70">
        <f t="shared" si="6"/>
        <v>22976.467589041094</v>
      </c>
      <c r="N55" s="70">
        <f t="shared" si="6"/>
        <v>15976.467589041094</v>
      </c>
      <c r="O55" s="70">
        <f t="shared" si="6"/>
        <v>22976.467589041094</v>
      </c>
    </row>
    <row r="57" spans="2:15" x14ac:dyDescent="0.25">
      <c r="B57" s="68" t="s">
        <v>119</v>
      </c>
      <c r="C57" s="68"/>
      <c r="D57" s="68"/>
      <c r="E57" s="68" t="s">
        <v>120</v>
      </c>
      <c r="F57" s="68"/>
      <c r="G57" s="68"/>
      <c r="H57" s="68" t="s">
        <v>121</v>
      </c>
      <c r="I57" s="68"/>
    </row>
    <row r="58" spans="2:15" x14ac:dyDescent="0.25">
      <c r="B58" s="62"/>
      <c r="C58" s="69" t="s">
        <v>122</v>
      </c>
      <c r="D58" s="69"/>
      <c r="E58" s="69" t="s">
        <v>116</v>
      </c>
      <c r="F58" s="69"/>
      <c r="G58" s="69"/>
      <c r="H58" s="69" t="s">
        <v>123</v>
      </c>
    </row>
    <row r="59" spans="2:15" x14ac:dyDescent="0.25">
      <c r="B59" s="62" t="s">
        <v>68</v>
      </c>
      <c r="C59" s="62">
        <f>SUMPRODUCT(K48:K53,C37:C42)/K55</f>
        <v>171.80160547722062</v>
      </c>
      <c r="E59" s="62">
        <f>SUMPRODUCT(C59:C63,M18:M22)</f>
        <v>3955810.1342334002</v>
      </c>
      <c r="F59" s="62"/>
      <c r="G59" s="62"/>
      <c r="H59" s="62">
        <f>M18*C59/$E$59</f>
        <v>4.1258685241471652E-2</v>
      </c>
    </row>
    <row r="60" spans="2:15" x14ac:dyDescent="0.25">
      <c r="B60" s="62" t="s">
        <v>66</v>
      </c>
      <c r="C60" s="62">
        <f>SUMPRODUCT(L48:L53,D37:D42)/L55</f>
        <v>273.48669860785628</v>
      </c>
      <c r="E60" s="62"/>
      <c r="F60" s="62"/>
      <c r="G60" s="62"/>
      <c r="H60" s="62">
        <f>M19*C60/$E$59</f>
        <v>6.9135446173494245E-8</v>
      </c>
    </row>
    <row r="61" spans="2:15" x14ac:dyDescent="0.25">
      <c r="B61" s="62" t="s">
        <v>64</v>
      </c>
      <c r="C61" s="62">
        <f>SUMPRODUCT(M48:M53,E37:E42)/M55</f>
        <v>188.08669860785628</v>
      </c>
      <c r="E61" s="62"/>
      <c r="F61" s="62"/>
      <c r="G61" s="62"/>
      <c r="H61" s="62">
        <f>M20*C61/$E$59</f>
        <v>0.16720676700673062</v>
      </c>
    </row>
    <row r="62" spans="2:15" x14ac:dyDescent="0.25">
      <c r="B62" s="62" t="s">
        <v>96</v>
      </c>
      <c r="C62" s="62">
        <f>SUMPRODUCT(N48:N53,F37:F42)/N55</f>
        <v>137.89891980219602</v>
      </c>
      <c r="E62" s="62"/>
      <c r="F62" s="62"/>
      <c r="G62" s="62"/>
      <c r="H62" s="62">
        <f>M21*C62/$E$59</f>
        <v>0.13943937158037498</v>
      </c>
    </row>
    <row r="63" spans="2:15" x14ac:dyDescent="0.25">
      <c r="B63" s="62" t="s">
        <v>77</v>
      </c>
      <c r="C63" s="62">
        <f>SUMPRODUCT(O48:O53,G37:G42)/O55</f>
        <v>234.62279377024592</v>
      </c>
      <c r="E63" s="62"/>
      <c r="F63" s="62"/>
      <c r="G63" s="62"/>
      <c r="H63" s="62">
        <f>M22*C63/$E$59</f>
        <v>0.65209510703597662</v>
      </c>
    </row>
    <row r="65" spans="2:16" x14ac:dyDescent="0.25">
      <c r="B65" s="68" t="s">
        <v>124</v>
      </c>
      <c r="C65" s="68"/>
      <c r="D65" s="68"/>
      <c r="E65" s="68"/>
      <c r="F65" s="68"/>
      <c r="G65" s="68"/>
      <c r="J65" s="68" t="s">
        <v>125</v>
      </c>
      <c r="K65" s="68"/>
      <c r="L65" s="68"/>
      <c r="M65" s="68"/>
      <c r="N65" s="68" t="s">
        <v>126</v>
      </c>
      <c r="O65" s="68"/>
    </row>
    <row r="66" spans="2:16" x14ac:dyDescent="0.25">
      <c r="J66" s="71" t="s">
        <v>127</v>
      </c>
    </row>
    <row r="67" spans="2:16" x14ac:dyDescent="0.25">
      <c r="B67" s="69" t="s">
        <v>26</v>
      </c>
      <c r="C67" s="69" t="s">
        <v>128</v>
      </c>
      <c r="D67" s="69" t="s">
        <v>129</v>
      </c>
      <c r="E67" s="69" t="s">
        <v>130</v>
      </c>
      <c r="F67" s="69" t="s">
        <v>131</v>
      </c>
      <c r="J67" s="72" t="s">
        <v>132</v>
      </c>
      <c r="K67" s="69" t="s">
        <v>133</v>
      </c>
      <c r="L67" s="69" t="s">
        <v>134</v>
      </c>
      <c r="N67" s="69" t="s">
        <v>135</v>
      </c>
      <c r="O67" s="69" t="s">
        <v>136</v>
      </c>
    </row>
    <row r="68" spans="2:16" x14ac:dyDescent="0.25">
      <c r="B68" s="62" t="s">
        <v>70</v>
      </c>
      <c r="C68" s="62">
        <f>H47</f>
        <v>0.1024213744194343</v>
      </c>
      <c r="D68" s="62">
        <f>E29</f>
        <v>336.88754196818888</v>
      </c>
      <c r="E68" s="62">
        <f>C68*$D$68</f>
        <v>34.504485073166762</v>
      </c>
      <c r="F68" s="62">
        <f>IFERROR(E68/E18,0)</f>
        <v>1.4376868780486151E-2</v>
      </c>
      <c r="G68" s="62"/>
      <c r="J68" s="62" t="s">
        <v>137</v>
      </c>
      <c r="K68" s="62">
        <f t="shared" ref="K68:K73" si="7">IF(J68="yes",F68*0,F68)</f>
        <v>1.4376868780486151E-2</v>
      </c>
      <c r="L68" s="62">
        <f>K68*E18</f>
        <v>34.504485073166762</v>
      </c>
      <c r="M68" s="62"/>
      <c r="N68" s="62">
        <f t="shared" ref="N68:N73" si="8">K68*$E$75/$L$75</f>
        <v>1.7944362148546108E-2</v>
      </c>
      <c r="O68" s="62">
        <f>N68*E18</f>
        <v>43.066469156510657</v>
      </c>
      <c r="P68" s="62"/>
    </row>
    <row r="69" spans="2:16" x14ac:dyDescent="0.25">
      <c r="B69" s="62" t="s">
        <v>73</v>
      </c>
      <c r="C69" s="62">
        <f>H48</f>
        <v>2.6074588814307749E-2</v>
      </c>
      <c r="D69" s="62"/>
      <c r="E69" s="62">
        <f t="shared" ref="E69:E73" si="9">C69*$D$68</f>
        <v>8.7842041334833709</v>
      </c>
      <c r="F69" s="62">
        <f t="shared" ref="F69:F73" si="10">IFERROR(E69/E19,0)</f>
        <v>1.0273922963138447E-2</v>
      </c>
      <c r="G69" s="62"/>
      <c r="J69" s="62" t="s">
        <v>137</v>
      </c>
      <c r="K69" s="62">
        <f t="shared" si="7"/>
        <v>1.0273922963138447E-2</v>
      </c>
      <c r="L69" s="62">
        <f>K69*E19</f>
        <v>8.7842041334833709</v>
      </c>
      <c r="M69" s="62"/>
      <c r="N69" s="62">
        <f t="shared" si="8"/>
        <v>1.2823306462047723E-2</v>
      </c>
      <c r="O69" s="62">
        <f>N69*E19</f>
        <v>10.963927025050801</v>
      </c>
      <c r="P69" s="62"/>
    </row>
    <row r="70" spans="2:16" x14ac:dyDescent="0.25">
      <c r="B70" s="62" t="s">
        <v>68</v>
      </c>
      <c r="C70" s="62">
        <f>H49</f>
        <v>6.912464168215221E-2</v>
      </c>
      <c r="D70" s="62"/>
      <c r="E70" s="62">
        <f t="shared" si="9"/>
        <v>23.287230625732072</v>
      </c>
      <c r="F70" s="62">
        <f t="shared" si="10"/>
        <v>1.3484600379705301E-2</v>
      </c>
      <c r="G70" s="62"/>
      <c r="J70" s="62" t="s">
        <v>137</v>
      </c>
      <c r="K70" s="62">
        <f t="shared" si="7"/>
        <v>1.3484600379705301E-2</v>
      </c>
      <c r="L70" s="62">
        <f>K70*E20</f>
        <v>23.287230625732072</v>
      </c>
      <c r="M70" s="62"/>
      <c r="N70" s="62">
        <f t="shared" si="8"/>
        <v>1.6830685202488999E-2</v>
      </c>
      <c r="O70" s="62">
        <f>N70*E20</f>
        <v>29.065751810438378</v>
      </c>
      <c r="P70" s="62"/>
    </row>
    <row r="71" spans="2:16" x14ac:dyDescent="0.25">
      <c r="B71" s="62" t="s">
        <v>96</v>
      </c>
      <c r="C71" s="62">
        <f>H50</f>
        <v>0.19880859171965634</v>
      </c>
      <c r="D71" s="62"/>
      <c r="E71" s="62">
        <f t="shared" si="9"/>
        <v>66.976137786592261</v>
      </c>
      <c r="F71" s="62">
        <f t="shared" si="10"/>
        <v>9.5680196837988948E-3</v>
      </c>
      <c r="G71" s="62"/>
      <c r="J71" s="62" t="s">
        <v>138</v>
      </c>
      <c r="K71" s="62">
        <f t="shared" si="7"/>
        <v>0</v>
      </c>
      <c r="L71" s="62">
        <f>K71*E21</f>
        <v>0</v>
      </c>
      <c r="M71" s="62"/>
      <c r="N71" s="62">
        <f t="shared" si="8"/>
        <v>0</v>
      </c>
      <c r="O71" s="62">
        <f>N71*E21</f>
        <v>0</v>
      </c>
      <c r="P71" s="62"/>
    </row>
    <row r="72" spans="2:16" x14ac:dyDescent="0.25">
      <c r="B72" s="62" t="s">
        <v>79</v>
      </c>
      <c r="C72" s="62">
        <f t="shared" ref="C72:C73" si="11">H51</f>
        <v>0.60357080336444924</v>
      </c>
      <c r="D72" s="62"/>
      <c r="E72" s="62">
        <f t="shared" si="9"/>
        <v>203.33548434921437</v>
      </c>
      <c r="F72" s="62">
        <f t="shared" si="10"/>
        <v>1.8494261590148459E-2</v>
      </c>
      <c r="G72" s="62"/>
      <c r="J72" s="62" t="s">
        <v>137</v>
      </c>
      <c r="K72" s="62">
        <f t="shared" si="7"/>
        <v>1.8494261590148459E-2</v>
      </c>
      <c r="L72" s="62">
        <f t="shared" ref="L72:L73" si="12">K72*E22</f>
        <v>203.33548434921437</v>
      </c>
      <c r="M72" s="62"/>
      <c r="N72" s="62">
        <f t="shared" si="8"/>
        <v>2.3083449721264557E-2</v>
      </c>
      <c r="O72" s="62">
        <f>N72*E22</f>
        <v>253.79139397618894</v>
      </c>
      <c r="P72" s="62"/>
    </row>
    <row r="73" spans="2:16" x14ac:dyDescent="0.25">
      <c r="B73" s="62" t="s">
        <v>77</v>
      </c>
      <c r="C73" s="62">
        <f t="shared" si="11"/>
        <v>0</v>
      </c>
      <c r="D73" s="62"/>
      <c r="E73" s="62">
        <f t="shared" si="9"/>
        <v>0</v>
      </c>
      <c r="F73" s="62">
        <f t="shared" si="10"/>
        <v>0</v>
      </c>
      <c r="G73" s="62"/>
      <c r="J73" s="62" t="s">
        <v>137</v>
      </c>
      <c r="K73" s="62">
        <f t="shared" si="7"/>
        <v>0</v>
      </c>
      <c r="L73" s="62">
        <f t="shared" si="12"/>
        <v>0</v>
      </c>
      <c r="M73" s="62"/>
      <c r="N73" s="62">
        <f t="shared" si="8"/>
        <v>0</v>
      </c>
      <c r="O73" s="62">
        <f t="shared" ref="O73" si="13">N73*E23</f>
        <v>0</v>
      </c>
      <c r="P73" s="62"/>
    </row>
    <row r="74" spans="2:16" x14ac:dyDescent="0.25">
      <c r="B74" s="62"/>
      <c r="C74" s="62"/>
      <c r="D74" s="62"/>
      <c r="E74" s="62"/>
      <c r="F74" s="62"/>
      <c r="G74" s="62"/>
      <c r="J74" s="62"/>
      <c r="K74" s="62"/>
      <c r="L74" s="62"/>
      <c r="M74" s="62"/>
      <c r="N74" s="62"/>
      <c r="O74" s="62"/>
      <c r="P74" s="62"/>
    </row>
    <row r="75" spans="2:16" x14ac:dyDescent="0.25">
      <c r="E75" s="73">
        <f>SUM(E68:E73)</f>
        <v>336.88754196818883</v>
      </c>
      <c r="L75" s="73">
        <f>SUM(L68:L73)</f>
        <v>269.91140418159659</v>
      </c>
      <c r="O75" s="73">
        <f>SUM(O68:O73)</f>
        <v>336.88754196818877</v>
      </c>
    </row>
    <row r="78" spans="2:16" x14ac:dyDescent="0.25">
      <c r="B78" s="68" t="s">
        <v>139</v>
      </c>
      <c r="C78" s="68"/>
      <c r="D78" s="68"/>
      <c r="E78" s="68"/>
      <c r="F78" s="68"/>
      <c r="G78" s="68"/>
      <c r="J78" s="68" t="s">
        <v>140</v>
      </c>
      <c r="K78" s="68"/>
      <c r="L78" s="68"/>
      <c r="M78" s="68"/>
      <c r="N78" s="68" t="s">
        <v>141</v>
      </c>
      <c r="O78" s="68"/>
    </row>
    <row r="79" spans="2:16" x14ac:dyDescent="0.25">
      <c r="J79" s="71" t="s">
        <v>142</v>
      </c>
    </row>
    <row r="80" spans="2:16" x14ac:dyDescent="0.25">
      <c r="B80" s="69" t="s">
        <v>8</v>
      </c>
      <c r="C80" s="69" t="s">
        <v>143</v>
      </c>
      <c r="D80" s="69" t="s">
        <v>144</v>
      </c>
      <c r="E80" s="69" t="s">
        <v>145</v>
      </c>
      <c r="F80" s="69" t="s">
        <v>146</v>
      </c>
      <c r="J80" s="72" t="s">
        <v>132</v>
      </c>
      <c r="K80" s="69" t="s">
        <v>147</v>
      </c>
      <c r="L80" s="69" t="s">
        <v>148</v>
      </c>
      <c r="N80" s="69" t="s">
        <v>149</v>
      </c>
      <c r="O80" s="69" t="s">
        <v>150</v>
      </c>
    </row>
    <row r="81" spans="1:16" x14ac:dyDescent="0.25">
      <c r="B81" s="62" t="s">
        <v>68</v>
      </c>
      <c r="C81" s="62">
        <f>H59</f>
        <v>4.1258685241471652E-2</v>
      </c>
      <c r="D81" s="62">
        <f>E30</f>
        <v>336.88754196818888</v>
      </c>
      <c r="E81" s="62">
        <f>C81*$D$81</f>
        <v>13.899537055838577</v>
      </c>
      <c r="F81" s="62">
        <f>E81/M18</f>
        <v>1.4631091637724818E-2</v>
      </c>
      <c r="G81" s="62"/>
      <c r="J81" s="62" t="s">
        <v>137</v>
      </c>
      <c r="K81" s="62">
        <f>IF(J81="yes",F81*0,F81)</f>
        <v>1.4631091637724818E-2</v>
      </c>
      <c r="L81" s="62">
        <f>K81*M18</f>
        <v>13.899537055838577</v>
      </c>
      <c r="M81" s="62"/>
      <c r="N81" s="62">
        <f>K81*$E$87/$L$87</f>
        <v>1.7001813881020865E-2</v>
      </c>
      <c r="O81" s="62">
        <f>N81*M18</f>
        <v>16.151723186969821</v>
      </c>
      <c r="P81" s="62"/>
    </row>
    <row r="82" spans="1:16" x14ac:dyDescent="0.25">
      <c r="B82" s="62" t="s">
        <v>66</v>
      </c>
      <c r="C82" s="62">
        <f>H60</f>
        <v>6.9135446173494245E-8</v>
      </c>
      <c r="D82" s="62"/>
      <c r="E82" s="62">
        <f>C82*$D$81</f>
        <v>2.3290870524262507E-5</v>
      </c>
      <c r="F82" s="62">
        <f>E82/M19</f>
        <v>2.3290870524262507E-2</v>
      </c>
      <c r="G82" s="62"/>
      <c r="J82" s="62" t="s">
        <v>137</v>
      </c>
      <c r="K82" s="62">
        <f>IF(J82="yes",F82*0,F82)</f>
        <v>2.3290870524262507E-2</v>
      </c>
      <c r="L82" s="62">
        <f>K82*M19</f>
        <v>2.3290870524262507E-5</v>
      </c>
      <c r="M82" s="62"/>
      <c r="N82" s="62">
        <f>K82*$E$87/$L$87</f>
        <v>2.7064764242160349E-2</v>
      </c>
      <c r="O82" s="62">
        <f>N82*M19</f>
        <v>2.706476424216035E-5</v>
      </c>
      <c r="P82" s="62"/>
    </row>
    <row r="83" spans="1:16" x14ac:dyDescent="0.25">
      <c r="B83" s="62" t="s">
        <v>64</v>
      </c>
      <c r="C83" s="62">
        <f>H61</f>
        <v>0.16720676700673062</v>
      </c>
      <c r="D83" s="62"/>
      <c r="E83" s="62">
        <f>C83*$D$81</f>
        <v>56.329876737345145</v>
      </c>
      <c r="F83" s="62">
        <f>E83/M20</f>
        <v>1.6017974427681086E-2</v>
      </c>
      <c r="G83" s="62"/>
      <c r="J83" s="62" t="s">
        <v>137</v>
      </c>
      <c r="K83" s="62">
        <f>IF(J83="yes",F83*0,F83)</f>
        <v>1.6017974427681086E-2</v>
      </c>
      <c r="L83" s="62">
        <f>K83*M20</f>
        <v>56.329876737345153</v>
      </c>
      <c r="M83" s="62"/>
      <c r="N83" s="62">
        <f>K83*$E$87/$L$87</f>
        <v>1.8613417693878542E-2</v>
      </c>
      <c r="O83" s="62">
        <f>N83*M20</f>
        <v>65.457185556806195</v>
      </c>
      <c r="P83" s="62"/>
    </row>
    <row r="84" spans="1:16" x14ac:dyDescent="0.25">
      <c r="B84" s="62" t="s">
        <v>96</v>
      </c>
      <c r="C84" s="62">
        <f>H62</f>
        <v>0.13943937158037498</v>
      </c>
      <c r="D84" s="62"/>
      <c r="E84" s="62">
        <f>C84*$D$81</f>
        <v>46.975387145301461</v>
      </c>
      <c r="F84" s="62">
        <f>E84/M21</f>
        <v>1.1743846786325365E-2</v>
      </c>
      <c r="G84" s="62"/>
      <c r="J84" s="62" t="s">
        <v>138</v>
      </c>
      <c r="K84" s="62">
        <f>IF(J84="yes",F84*0,F84)</f>
        <v>0</v>
      </c>
      <c r="L84" s="62">
        <f>K84*M21</f>
        <v>0</v>
      </c>
      <c r="M84" s="62"/>
      <c r="N84" s="62">
        <f>K84*$E$87/$L$87</f>
        <v>0</v>
      </c>
      <c r="O84" s="62">
        <f>N84*M21</f>
        <v>0</v>
      </c>
      <c r="P84" s="62"/>
    </row>
    <row r="85" spans="1:16" x14ac:dyDescent="0.25">
      <c r="B85" s="62" t="s">
        <v>77</v>
      </c>
      <c r="C85" s="62">
        <f>H63</f>
        <v>0.65209510703597662</v>
      </c>
      <c r="D85" s="62"/>
      <c r="E85" s="62">
        <f>C85*$D$81</f>
        <v>219.68271773883319</v>
      </c>
      <c r="F85" s="62">
        <f>E85/M22</f>
        <v>1.9981114765581377E-2</v>
      </c>
      <c r="G85" s="62"/>
      <c r="J85" s="62" t="s">
        <v>137</v>
      </c>
      <c r="K85" s="62">
        <f>IF(J85="yes",F85*0,F85)</f>
        <v>1.9981114765581377E-2</v>
      </c>
      <c r="L85" s="62">
        <f>K85*M22</f>
        <v>219.68271773883319</v>
      </c>
      <c r="M85" s="62"/>
      <c r="N85" s="62">
        <f>K85*$E$87/$L$87</f>
        <v>2.3218718246819703E-2</v>
      </c>
      <c r="O85" s="62">
        <f>N85*M22</f>
        <v>255.27860615964866</v>
      </c>
      <c r="P85" s="62"/>
    </row>
    <row r="86" spans="1:16" x14ac:dyDescent="0.25">
      <c r="B86" s="62"/>
      <c r="C86" s="62"/>
      <c r="D86" s="62"/>
      <c r="E86" s="62"/>
      <c r="F86" s="62"/>
      <c r="G86" s="62"/>
      <c r="J86" s="62"/>
      <c r="K86" s="62"/>
      <c r="L86" s="62"/>
      <c r="M86" s="62"/>
      <c r="N86" s="62"/>
      <c r="O86" s="62"/>
      <c r="P86" s="62"/>
    </row>
    <row r="87" spans="1:16" x14ac:dyDescent="0.25">
      <c r="E87" s="73">
        <f>SUM(E81:E85)</f>
        <v>336.88754196818888</v>
      </c>
      <c r="L87" s="73">
        <f>SUM(L81:L85)</f>
        <v>289.91215482288743</v>
      </c>
      <c r="O87" s="73">
        <f>SUM(O81:O85)</f>
        <v>336.88754196818888</v>
      </c>
    </row>
    <row r="89" spans="1:16" ht="18.75" x14ac:dyDescent="0.3">
      <c r="A89" s="58" t="s">
        <v>151</v>
      </c>
    </row>
    <row r="91" spans="1:16" x14ac:dyDescent="0.25">
      <c r="B91" s="68" t="s">
        <v>152</v>
      </c>
      <c r="J91" s="68" t="s">
        <v>153</v>
      </c>
    </row>
    <row r="92" spans="1:16" x14ac:dyDescent="0.25">
      <c r="B92" s="69" t="s">
        <v>154</v>
      </c>
      <c r="C92" s="69" t="s">
        <v>155</v>
      </c>
      <c r="D92" s="69" t="s">
        <v>156</v>
      </c>
      <c r="E92" s="69" t="s">
        <v>156</v>
      </c>
      <c r="F92" s="69" t="s">
        <v>155</v>
      </c>
      <c r="G92" s="69" t="s">
        <v>156</v>
      </c>
      <c r="J92" s="75" t="s">
        <v>157</v>
      </c>
      <c r="K92" s="75"/>
      <c r="L92" s="75"/>
    </row>
    <row r="93" spans="1:16" x14ac:dyDescent="0.25">
      <c r="B93" s="62"/>
      <c r="C93" s="62" t="s">
        <v>64</v>
      </c>
      <c r="D93" s="62" t="s">
        <v>68</v>
      </c>
      <c r="E93" s="62" t="s">
        <v>66</v>
      </c>
      <c r="F93" s="62" t="s">
        <v>96</v>
      </c>
      <c r="G93" s="62" t="s">
        <v>77</v>
      </c>
      <c r="J93" s="74"/>
      <c r="K93" s="69" t="s">
        <v>158</v>
      </c>
      <c r="L93" s="69" t="s">
        <v>159</v>
      </c>
    </row>
    <row r="94" spans="1:16" x14ac:dyDescent="0.25">
      <c r="B94" s="69" t="s">
        <v>160</v>
      </c>
      <c r="C94" s="62">
        <f>M20</f>
        <v>3516.6666666666665</v>
      </c>
      <c r="D94" s="62">
        <f>M18</f>
        <v>950</v>
      </c>
      <c r="E94" s="62">
        <f>M19</f>
        <v>1E-3</v>
      </c>
      <c r="F94" s="62">
        <f>M21</f>
        <v>4000</v>
      </c>
      <c r="G94" s="74">
        <f>M22</f>
        <v>10994.517589041096</v>
      </c>
      <c r="J94" s="76" t="s">
        <v>70</v>
      </c>
      <c r="K94" s="62">
        <f>(K39*E37+K40*F37)/SUM(K39,K40)</f>
        <v>140.93569844789357</v>
      </c>
      <c r="L94" s="62">
        <f>(K37*C37+K38*D37+K41*G37)/SUM(K37,K38,K41)</f>
        <v>235.58739756316055</v>
      </c>
    </row>
    <row r="95" spans="1:16" x14ac:dyDescent="0.25">
      <c r="B95" s="69" t="s">
        <v>161</v>
      </c>
      <c r="C95" s="62">
        <f>C94*C61</f>
        <v>661438.22343762789</v>
      </c>
      <c r="D95" s="62">
        <f>D94*C59</f>
        <v>163211.52520335958</v>
      </c>
      <c r="E95" s="62">
        <f>E94*C60</f>
        <v>0.27348669860785629</v>
      </c>
      <c r="F95" s="62">
        <f>F94*C62</f>
        <v>551595.67920878413</v>
      </c>
      <c r="G95" s="74">
        <f>G94*C63</f>
        <v>2579564.4328969303</v>
      </c>
      <c r="J95" s="76" t="s">
        <v>73</v>
      </c>
      <c r="K95" s="62">
        <f>(L39*E38+L40*F38)/SUM(L39,L40)</f>
        <v>84.135698447893574</v>
      </c>
      <c r="L95" s="62">
        <f>(L37*C38+L38*D38+L41*G38)/SUM(L37,L38,L41)</f>
        <v>178.78739756316054</v>
      </c>
    </row>
    <row r="96" spans="1:16" x14ac:dyDescent="0.25">
      <c r="J96" s="76" t="s">
        <v>68</v>
      </c>
      <c r="K96" s="62">
        <f>(M39*E39+M40*F39)/SUM(M39,M40)</f>
        <v>177.13569844789359</v>
      </c>
      <c r="L96" s="62">
        <f>(M37*C39+M38*D39+M41*G39)/SUM(M37,M38,M41)</f>
        <v>193.20001076900266</v>
      </c>
    </row>
    <row r="97" spans="2:12" x14ac:dyDescent="0.25">
      <c r="C97" s="62" t="s">
        <v>162</v>
      </c>
      <c r="J97" s="76" t="s">
        <v>96</v>
      </c>
      <c r="K97" s="62">
        <f>(N39*E40+N40*F40)/SUM(N39,N40)</f>
        <v>92.2</v>
      </c>
      <c r="L97" s="62">
        <f>(N37*C40+N38*D40+N41*G40)/SUM(N37,N38,N41)</f>
        <v>144.30921754437537</v>
      </c>
    </row>
    <row r="98" spans="2:12" x14ac:dyDescent="0.25">
      <c r="C98" s="62"/>
      <c r="J98" s="76" t="s">
        <v>79</v>
      </c>
      <c r="K98" s="62">
        <f>(O39*E41+O40*F41)/SUM(O39,O40)</f>
        <v>197.93569844789357</v>
      </c>
      <c r="L98" s="62">
        <f>(O37*C41+O38*D41+O41*G41)/SUM(O37,O38,O41)</f>
        <v>292.58739756316055</v>
      </c>
    </row>
    <row r="99" spans="2:12" x14ac:dyDescent="0.25">
      <c r="C99" s="62"/>
      <c r="J99" s="76" t="s">
        <v>77</v>
      </c>
      <c r="K99" s="62">
        <f>(P39*E42+P40*F42)/SUM(P39,P40)</f>
        <v>102.06430155210643</v>
      </c>
      <c r="L99" s="62">
        <f>(P37*C42+P38*D42+P41*G42)/SUM(P37,P38,P41)</f>
        <v>286.19982336860699</v>
      </c>
    </row>
    <row r="100" spans="2:12" x14ac:dyDescent="0.25">
      <c r="B100" s="68" t="s">
        <v>163</v>
      </c>
      <c r="J100" s="68" t="s">
        <v>164</v>
      </c>
      <c r="K100" s="62"/>
      <c r="L100" s="62"/>
    </row>
    <row r="101" spans="2:12" ht="34.5" x14ac:dyDescent="0.25">
      <c r="C101" s="76" t="s">
        <v>165</v>
      </c>
      <c r="D101" s="76" t="s">
        <v>166</v>
      </c>
      <c r="E101" s="76" t="s">
        <v>167</v>
      </c>
      <c r="F101" s="76" t="s">
        <v>168</v>
      </c>
      <c r="G101" s="76" t="s">
        <v>169</v>
      </c>
      <c r="J101" s="76" t="s">
        <v>170</v>
      </c>
      <c r="K101" s="62">
        <f>SUMPRODUCT(C102:C107,N68:N73)</f>
        <v>175.13394919655406</v>
      </c>
      <c r="L101" s="62"/>
    </row>
    <row r="102" spans="2:12" ht="23.25" x14ac:dyDescent="0.25">
      <c r="B102" s="76" t="s">
        <v>70</v>
      </c>
      <c r="C102" s="62">
        <f t="shared" ref="C102:C107" si="14">SUM($D$94,$E$94,$G$94)/SUM($E$18:$E$23)*E18</f>
        <v>1247.6610907488509</v>
      </c>
      <c r="D102" s="62" t="s">
        <v>171</v>
      </c>
      <c r="E102" s="62">
        <f>E18-C102</f>
        <v>1152.3389092511491</v>
      </c>
      <c r="F102" s="62">
        <f>C102*L94</f>
        <v>293933.22941033606</v>
      </c>
      <c r="G102" s="62">
        <f>E102*K94</f>
        <v>162405.68902399455</v>
      </c>
      <c r="J102" s="76" t="s">
        <v>172</v>
      </c>
      <c r="K102" s="62">
        <f>E29-K101</f>
        <v>161.75359277163483</v>
      </c>
      <c r="L102" s="62"/>
    </row>
    <row r="103" spans="2:12" ht="23.25" x14ac:dyDescent="0.25">
      <c r="B103" s="76" t="s">
        <v>73</v>
      </c>
      <c r="C103" s="62">
        <f t="shared" si="14"/>
        <v>444.4792635792781</v>
      </c>
      <c r="D103" s="62" t="s">
        <v>171</v>
      </c>
      <c r="E103" s="62">
        <f>E19-C103</f>
        <v>410.52073642072179</v>
      </c>
      <c r="F103" s="62">
        <f>C103*L95</f>
        <v>79467.290806129211</v>
      </c>
      <c r="G103" s="62">
        <f>E103*K95</f>
        <v>34539.448886101047</v>
      </c>
      <c r="J103" s="76" t="s">
        <v>173</v>
      </c>
      <c r="K103" s="62">
        <f>D94*N81+E94*N82+G94*N85</f>
        <v>271.43035641138272</v>
      </c>
      <c r="L103" s="62"/>
    </row>
    <row r="104" spans="2:12" ht="23.25" x14ac:dyDescent="0.25">
      <c r="B104" s="76" t="s">
        <v>68</v>
      </c>
      <c r="C104" s="62">
        <f t="shared" si="14"/>
        <v>897.7701336119701</v>
      </c>
      <c r="D104" s="62" t="s">
        <v>171</v>
      </c>
      <c r="E104" s="62">
        <f>E20-C104</f>
        <v>829.17986638802995</v>
      </c>
      <c r="F104" s="62">
        <f>C104*L96</f>
        <v>173449.19948192159</v>
      </c>
      <c r="G104" s="62">
        <f>E104*K96</f>
        <v>146877.35477157476</v>
      </c>
      <c r="J104" s="76" t="s">
        <v>174</v>
      </c>
      <c r="K104" s="62">
        <f>E30-K103</f>
        <v>65.457185556806166</v>
      </c>
      <c r="L104" s="62"/>
    </row>
    <row r="105" spans="2:12" ht="21" customHeight="1" x14ac:dyDescent="0.25">
      <c r="B105" s="76" t="s">
        <v>96</v>
      </c>
      <c r="C105" s="62">
        <f>SUM($D$94,$E$94,$G$94)/SUM($E$18:$E$23)*E21</f>
        <v>3639.0115146841486</v>
      </c>
      <c r="D105" s="62" t="s">
        <v>171</v>
      </c>
      <c r="E105" s="62">
        <f>E21-C105</f>
        <v>3360.9884853158514</v>
      </c>
      <c r="F105" s="62">
        <f>C105*L97</f>
        <v>525142.90431904176</v>
      </c>
      <c r="G105" s="62">
        <f>E105*K97</f>
        <v>309883.13834612153</v>
      </c>
      <c r="H105" s="69"/>
      <c r="J105" s="235" t="s">
        <v>175</v>
      </c>
      <c r="K105" s="62">
        <f>K102+K104</f>
        <v>227.21077832844099</v>
      </c>
      <c r="L105" s="62"/>
    </row>
    <row r="106" spans="2:12" x14ac:dyDescent="0.25">
      <c r="B106" s="76" t="s">
        <v>79</v>
      </c>
      <c r="C106" s="62">
        <f t="shared" si="14"/>
        <v>5715.5965864168502</v>
      </c>
      <c r="D106" s="62"/>
      <c r="E106" s="62">
        <f t="shared" ref="E106:E107" si="15">E22-C106</f>
        <v>5278.9210026242454</v>
      </c>
      <c r="F106" s="62">
        <f>C106*L98</f>
        <v>1672311.5307405903</v>
      </c>
      <c r="G106" s="62">
        <f t="shared" ref="G106:G107" si="16">E106*K98</f>
        <v>1044886.9157056846</v>
      </c>
      <c r="H106" s="69"/>
      <c r="J106" s="76"/>
      <c r="K106" s="62"/>
      <c r="L106" s="62"/>
    </row>
    <row r="107" spans="2:12" x14ac:dyDescent="0.25">
      <c r="B107" s="76" t="s">
        <v>77</v>
      </c>
      <c r="C107" s="62">
        <f t="shared" si="14"/>
        <v>0</v>
      </c>
      <c r="D107" s="62"/>
      <c r="E107" s="62">
        <f t="shared" si="15"/>
        <v>0</v>
      </c>
      <c r="F107" s="62">
        <f t="shared" ref="F107" si="17">C107*L99</f>
        <v>0</v>
      </c>
      <c r="G107" s="62">
        <f t="shared" si="16"/>
        <v>0</v>
      </c>
      <c r="H107" s="69"/>
      <c r="J107" s="76"/>
      <c r="K107" s="62"/>
      <c r="L107" s="62"/>
    </row>
    <row r="108" spans="2:12" x14ac:dyDescent="0.25">
      <c r="B108" s="76"/>
      <c r="C108" s="62"/>
      <c r="D108" s="62"/>
      <c r="E108" s="62"/>
      <c r="F108" s="62"/>
      <c r="G108" s="62"/>
      <c r="J108" s="235" t="s">
        <v>176</v>
      </c>
      <c r="K108" s="62">
        <f>K101+K103</f>
        <v>446.56430560793677</v>
      </c>
      <c r="L108" s="62"/>
    </row>
    <row r="109" spans="2:12" x14ac:dyDescent="0.25">
      <c r="B109" s="76" t="s">
        <v>177</v>
      </c>
      <c r="C109" s="62">
        <f>SUM(C102:C107)</f>
        <v>11944.518589041098</v>
      </c>
      <c r="D109" s="62"/>
      <c r="E109" s="62">
        <f>SUM(E102:E107)</f>
        <v>11031.948999999997</v>
      </c>
      <c r="F109" s="62">
        <f>SUM(F102:F107)</f>
        <v>2744304.1547580189</v>
      </c>
      <c r="G109" s="62">
        <f>SUM(G102:G107)</f>
        <v>1698592.5467334765</v>
      </c>
    </row>
    <row r="110" spans="2:12" x14ac:dyDescent="0.25">
      <c r="B110" s="76"/>
      <c r="C110" s="62"/>
      <c r="D110" s="62"/>
      <c r="E110" s="62"/>
      <c r="F110" s="62"/>
      <c r="G110" s="62"/>
    </row>
    <row r="111" spans="2:12" x14ac:dyDescent="0.25">
      <c r="B111" s="76" t="s">
        <v>178</v>
      </c>
      <c r="C111" s="62">
        <f>SUM(D94,E94,G94)</f>
        <v>11944.518589041096</v>
      </c>
      <c r="D111" s="62"/>
      <c r="E111" s="62"/>
      <c r="F111" s="62"/>
      <c r="G111" s="62"/>
    </row>
    <row r="112" spans="2:12" x14ac:dyDescent="0.25">
      <c r="B112" s="76"/>
    </row>
    <row r="113" spans="2:12" x14ac:dyDescent="0.25">
      <c r="B113" s="76"/>
    </row>
    <row r="114" spans="2:12" x14ac:dyDescent="0.25">
      <c r="B114" s="68" t="s">
        <v>179</v>
      </c>
      <c r="J114" s="68" t="s">
        <v>180</v>
      </c>
    </row>
    <row r="115" spans="2:12" ht="29.25" customHeight="1" x14ac:dyDescent="0.25">
      <c r="B115" s="76" t="s">
        <v>169</v>
      </c>
      <c r="C115" s="78"/>
      <c r="D115" s="62">
        <f>G109</f>
        <v>1698592.5467334765</v>
      </c>
      <c r="E115" s="62"/>
      <c r="J115" s="79" t="s">
        <v>181</v>
      </c>
      <c r="K115" s="80"/>
      <c r="L115" s="81"/>
    </row>
    <row r="116" spans="2:12" ht="27" customHeight="1" x14ac:dyDescent="0.25">
      <c r="B116" s="76" t="s">
        <v>182</v>
      </c>
      <c r="C116" s="78"/>
      <c r="D116" s="62">
        <f>C95+F95</f>
        <v>1213033.9026464121</v>
      </c>
      <c r="E116" s="62"/>
      <c r="J116" s="82" t="s">
        <v>183</v>
      </c>
      <c r="K116" s="83">
        <f>K105*10^6/D117</f>
        <v>78.03568976948668</v>
      </c>
      <c r="L116" s="84" t="s">
        <v>184</v>
      </c>
    </row>
    <row r="117" spans="2:12" ht="31.5" customHeight="1" x14ac:dyDescent="0.25">
      <c r="B117" s="77" t="s">
        <v>185</v>
      </c>
      <c r="C117" s="78"/>
      <c r="D117" s="62">
        <f>SUM(D115:D116)</f>
        <v>2911626.4493798884</v>
      </c>
      <c r="E117" s="62"/>
      <c r="J117" s="82" t="s">
        <v>186</v>
      </c>
      <c r="K117" s="83">
        <f>K108*10^6/D120</f>
        <v>81.384684416004561</v>
      </c>
      <c r="L117" s="84" t="s">
        <v>187</v>
      </c>
    </row>
    <row r="118" spans="2:12" ht="28.5" customHeight="1" x14ac:dyDescent="0.25">
      <c r="B118" s="76" t="s">
        <v>188</v>
      </c>
      <c r="C118" s="78"/>
      <c r="D118" s="62">
        <f>F109</f>
        <v>2744304.1547580189</v>
      </c>
      <c r="E118" s="62"/>
      <c r="J118" s="82" t="s">
        <v>189</v>
      </c>
      <c r="K118" s="85">
        <f>2*(ABS(K116-K117))/(K116+K117)</f>
        <v>4.2014637885885359E-2</v>
      </c>
      <c r="L118" s="84" t="s">
        <v>190</v>
      </c>
    </row>
    <row r="119" spans="2:12" ht="34.5" customHeight="1" x14ac:dyDescent="0.25">
      <c r="B119" s="76" t="s">
        <v>191</v>
      </c>
      <c r="C119" s="78"/>
      <c r="D119" s="62">
        <f>SUM(D95,E95,G95)</f>
        <v>2742776.2315869885</v>
      </c>
      <c r="E119" s="62"/>
    </row>
    <row r="120" spans="2:12" ht="30" customHeight="1" x14ac:dyDescent="0.25">
      <c r="B120" s="77" t="s">
        <v>192</v>
      </c>
      <c r="C120" s="78"/>
      <c r="D120" s="62">
        <f>SUM(D118:D119)</f>
        <v>5487080.3863450075</v>
      </c>
      <c r="E120" s="62"/>
    </row>
    <row r="121" spans="2:12" x14ac:dyDescent="0.25">
      <c r="D121" s="62"/>
      <c r="E121" s="62"/>
    </row>
    <row r="122" spans="2:12" x14ac:dyDescent="0.25">
      <c r="D122" s="62"/>
      <c r="E122" s="62"/>
    </row>
  </sheetData>
  <conditionalFormatting sqref="K118">
    <cfRule type="cellIs" dxfId="15" priority="1" operator="lessThan">
      <formula>0.1</formula>
    </cfRule>
    <cfRule type="cellIs" dxfId="14" priority="2" operator="greaterThan">
      <formula>0.1</formula>
    </cfRule>
  </conditionalFormatting>
  <dataValidations count="1">
    <dataValidation type="list" allowBlank="1" showInputMessage="1" showErrorMessage="1" sqref="F12" xr:uid="{00000000-0002-0000-1D00-000000000000}">
      <formula1>"Nybro (P1),New entry point (BP1)"</formula1>
    </dataValidation>
  </dataValidations>
  <pageMargins left="0.7" right="0.7" top="0.75" bottom="0.75" header="0.3" footer="0.3"/>
  <pageSetup paperSize="9" orientation="portrait" horizontalDpi="1200" verticalDpi="1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FF0000"/>
  </sheetPr>
  <dimension ref="A1:R123"/>
  <sheetViews>
    <sheetView topLeftCell="A94" workbookViewId="0">
      <selection activeCell="A25" sqref="A25"/>
    </sheetView>
  </sheetViews>
  <sheetFormatPr defaultColWidth="9.140625" defaultRowHeight="15" x14ac:dyDescent="0.25"/>
  <cols>
    <col min="1" max="2" width="9.140625" style="53"/>
    <col min="3" max="3" width="9.42578125" style="53" bestFit="1" customWidth="1"/>
    <col min="4" max="6" width="10" style="53" bestFit="1" customWidth="1"/>
    <col min="7" max="7" width="10.5703125" style="53" bestFit="1" customWidth="1"/>
    <col min="8" max="9" width="9.140625" style="53"/>
    <col min="10" max="16" width="9.42578125" style="53" bestFit="1" customWidth="1"/>
    <col min="17"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Capacities'!F16*10^(-3)</f>
        <v>2400</v>
      </c>
      <c r="F18" s="61"/>
      <c r="G18" s="60"/>
      <c r="H18" s="60"/>
      <c r="I18" s="60"/>
      <c r="J18" s="61" t="s">
        <v>68</v>
      </c>
      <c r="K18" s="61">
        <v>56.8</v>
      </c>
      <c r="L18" s="61">
        <v>0</v>
      </c>
      <c r="M18" s="61">
        <f>'Forecasted Capacities'!F13*10^(-3)</f>
        <v>950</v>
      </c>
      <c r="N18" s="64"/>
      <c r="R18" s="62"/>
    </row>
    <row r="19" spans="1:18" x14ac:dyDescent="0.25">
      <c r="B19" s="61" t="s">
        <v>73</v>
      </c>
      <c r="C19" s="61">
        <v>56.8</v>
      </c>
      <c r="D19" s="61">
        <v>93</v>
      </c>
      <c r="E19" s="61">
        <f>'Forecasted Capacities'!F18*10^(-3)</f>
        <v>854.99999999999989</v>
      </c>
      <c r="F19" s="61"/>
      <c r="G19" s="60"/>
      <c r="H19" s="60"/>
      <c r="I19" s="60"/>
      <c r="J19" s="61" t="s">
        <v>66</v>
      </c>
      <c r="K19" s="61">
        <v>275.39999999999998</v>
      </c>
      <c r="L19" s="61">
        <v>93</v>
      </c>
      <c r="M19" s="61">
        <f>'Forecasted Capacities'!F12*10^(-3)</f>
        <v>1E-3</v>
      </c>
      <c r="N19" s="61"/>
      <c r="R19" s="62"/>
    </row>
    <row r="20" spans="1:18" x14ac:dyDescent="0.25">
      <c r="B20" s="61" t="s">
        <v>68</v>
      </c>
      <c r="C20" s="61">
        <v>56.8</v>
      </c>
      <c r="D20" s="61">
        <v>0</v>
      </c>
      <c r="E20" s="61">
        <f>'Forecasted Capacities'!F17*10^(-3)</f>
        <v>1726.95</v>
      </c>
      <c r="F20" s="61"/>
      <c r="G20" s="60"/>
      <c r="H20" s="60"/>
      <c r="I20" s="60"/>
      <c r="J20" s="61" t="s">
        <v>64</v>
      </c>
      <c r="K20" s="61">
        <v>190</v>
      </c>
      <c r="L20" s="61">
        <v>93</v>
      </c>
      <c r="M20" s="61">
        <f>'Forecasted Capacities'!F11*10^(-3)</f>
        <v>3516.6666666666665</v>
      </c>
      <c r="N20" s="61"/>
      <c r="R20" s="62"/>
    </row>
    <row r="21" spans="1:18" x14ac:dyDescent="0.25">
      <c r="B21" s="61" t="s">
        <v>96</v>
      </c>
      <c r="C21" s="61">
        <v>97.8</v>
      </c>
      <c r="D21" s="61">
        <v>93</v>
      </c>
      <c r="E21" s="61">
        <f>'Forecasted Capacities'!F22*10^(-3)</f>
        <v>7000</v>
      </c>
      <c r="F21" s="61"/>
      <c r="G21" s="60"/>
      <c r="H21" s="60"/>
      <c r="I21" s="60"/>
      <c r="J21" s="61" t="s">
        <v>96</v>
      </c>
      <c r="K21" s="61">
        <v>97.8</v>
      </c>
      <c r="L21" s="61">
        <v>93</v>
      </c>
      <c r="M21" s="61">
        <f>'Forecasted Capacities'!F21*10^(-3)</f>
        <v>4000</v>
      </c>
      <c r="N21" s="61"/>
      <c r="R21" s="62"/>
    </row>
    <row r="22" spans="1:18" x14ac:dyDescent="0.25">
      <c r="B22" s="61" t="s">
        <v>79</v>
      </c>
      <c r="C22" s="233">
        <v>0</v>
      </c>
      <c r="D22" s="233">
        <v>150</v>
      </c>
      <c r="E22" s="61">
        <f>'Forecasted Capacities'!F19*10^(-3)</f>
        <v>10994.517589041096</v>
      </c>
      <c r="F22" s="60"/>
      <c r="G22" s="60"/>
      <c r="H22" s="60"/>
      <c r="I22" s="60"/>
      <c r="J22" s="61" t="s">
        <v>77</v>
      </c>
      <c r="K22" s="233">
        <v>200</v>
      </c>
      <c r="L22" s="233">
        <v>50</v>
      </c>
      <c r="M22" s="61">
        <f>'Forecasted Capacities'!F14*10^(-3)</f>
        <v>10994.517589041096</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22976.467589041094</v>
      </c>
      <c r="F24" s="60"/>
      <c r="G24" s="60"/>
      <c r="H24" s="60"/>
      <c r="I24" s="60"/>
      <c r="J24" s="60"/>
      <c r="K24" s="60"/>
      <c r="L24" s="60"/>
      <c r="M24" s="65">
        <f>SUM(M18:M22)</f>
        <v>19461.185255707762</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'25. Current tariff method 24'!B13+'25. Current tariff method 24'!B14</f>
        <v>962.53583419482538</v>
      </c>
      <c r="F26" s="60"/>
      <c r="G26" s="60"/>
      <c r="H26" s="60"/>
      <c r="I26" s="60"/>
      <c r="J26" s="60"/>
      <c r="K26" s="60"/>
      <c r="L26" s="60"/>
      <c r="M26" s="60"/>
      <c r="N26" s="60"/>
    </row>
    <row r="27" spans="1:18" x14ac:dyDescent="0.25">
      <c r="A27" s="63" t="s">
        <v>99</v>
      </c>
      <c r="B27" s="60"/>
      <c r="C27" s="61" t="s">
        <v>100</v>
      </c>
      <c r="D27" s="60"/>
      <c r="E27" s="61">
        <f>'25. Current tariff method 24'!B14</f>
        <v>673.77508393637777</v>
      </c>
      <c r="F27" s="60"/>
      <c r="G27" s="60"/>
      <c r="H27" s="60"/>
      <c r="I27" s="60"/>
      <c r="J27" s="60"/>
      <c r="K27" s="60"/>
      <c r="L27" s="60"/>
      <c r="M27" s="60"/>
      <c r="N27" s="60"/>
    </row>
    <row r="28" spans="1:18" x14ac:dyDescent="0.25">
      <c r="A28" s="63" t="s">
        <v>101</v>
      </c>
      <c r="B28" s="60"/>
      <c r="C28" s="61" t="s">
        <v>102</v>
      </c>
      <c r="D28" s="61"/>
      <c r="E28" s="61">
        <v>0.5</v>
      </c>
      <c r="F28" s="60"/>
      <c r="G28" s="60"/>
      <c r="H28" s="60"/>
      <c r="I28" s="60"/>
      <c r="J28" s="60"/>
      <c r="K28" s="60"/>
      <c r="L28" s="60"/>
      <c r="M28" s="60"/>
      <c r="N28" s="60"/>
    </row>
    <row r="29" spans="1:18" x14ac:dyDescent="0.25">
      <c r="A29" s="63" t="s">
        <v>101</v>
      </c>
      <c r="B29" s="60"/>
      <c r="C29" s="61" t="s">
        <v>103</v>
      </c>
      <c r="D29" s="61"/>
      <c r="E29" s="61">
        <f>E27*E28</f>
        <v>336.88754196818888</v>
      </c>
      <c r="F29" s="60"/>
      <c r="G29" s="60"/>
      <c r="H29" s="60"/>
      <c r="I29" s="60"/>
      <c r="J29" s="60"/>
      <c r="K29" s="60"/>
      <c r="L29" s="60"/>
      <c r="N29" s="60"/>
    </row>
    <row r="30" spans="1:18" x14ac:dyDescent="0.25">
      <c r="B30" s="60"/>
      <c r="C30" s="61" t="s">
        <v>104</v>
      </c>
      <c r="D30" s="61"/>
      <c r="E30" s="61">
        <f>E27*(1-E28)</f>
        <v>336.88754196818888</v>
      </c>
      <c r="F30" s="60"/>
      <c r="G30" s="60"/>
      <c r="H30" s="60"/>
      <c r="I30" s="60"/>
      <c r="J30" s="60"/>
      <c r="K30" s="60"/>
      <c r="L30" s="60"/>
      <c r="M30" s="60"/>
      <c r="N30" s="60"/>
    </row>
    <row r="31" spans="1:18" x14ac:dyDescent="0.25">
      <c r="B31" s="60"/>
      <c r="C31" s="61" t="s">
        <v>105</v>
      </c>
      <c r="D31" s="60"/>
      <c r="E31" s="61">
        <f>'25. Current tariff method 24'!B13</f>
        <v>288.76075025844767</v>
      </c>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 t="shared" ref="K37:L41" si="0">$M18</f>
        <v>950</v>
      </c>
      <c r="L37" s="62">
        <f t="shared" si="0"/>
        <v>950</v>
      </c>
      <c r="M37" s="62">
        <v>0</v>
      </c>
      <c r="N37" s="62">
        <f>$M18</f>
        <v>950</v>
      </c>
      <c r="O37" s="62">
        <f t="shared" ref="O37:P41" si="1">$M18</f>
        <v>950</v>
      </c>
      <c r="P37" s="62">
        <f t="shared" si="1"/>
        <v>950</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1E-3</v>
      </c>
      <c r="L38" s="62">
        <f t="shared" si="0"/>
        <v>1E-3</v>
      </c>
      <c r="M38" s="62">
        <f>$M19</f>
        <v>1E-3</v>
      </c>
      <c r="N38" s="62">
        <f>$M19</f>
        <v>1E-3</v>
      </c>
      <c r="O38" s="62">
        <f t="shared" si="1"/>
        <v>1E-3</v>
      </c>
      <c r="P38" s="62">
        <f t="shared" si="1"/>
        <v>1E-3</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3516.6666666666665</v>
      </c>
      <c r="L39" s="62">
        <f t="shared" si="0"/>
        <v>3516.6666666666665</v>
      </c>
      <c r="M39" s="62">
        <f>$M20</f>
        <v>3516.6666666666665</v>
      </c>
      <c r="N39" s="62">
        <f>$M20</f>
        <v>3516.6666666666665</v>
      </c>
      <c r="O39" s="62">
        <f t="shared" si="1"/>
        <v>3516.6666666666665</v>
      </c>
      <c r="P39" s="62">
        <f t="shared" si="1"/>
        <v>3516.6666666666665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4000</v>
      </c>
      <c r="L40" s="62">
        <f t="shared" si="0"/>
        <v>4000</v>
      </c>
      <c r="M40" s="62">
        <f>$M21</f>
        <v>4000</v>
      </c>
      <c r="N40" s="62">
        <v>0</v>
      </c>
      <c r="O40" s="62">
        <f t="shared" si="1"/>
        <v>4000</v>
      </c>
      <c r="P40" s="62">
        <f t="shared" si="1"/>
        <v>4000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10994.517589041096</v>
      </c>
      <c r="L41" s="62">
        <f t="shared" si="0"/>
        <v>10994.517589041096</v>
      </c>
      <c r="M41" s="62">
        <f>$M22</f>
        <v>10994.517589041096</v>
      </c>
      <c r="N41" s="62">
        <f>$M22</f>
        <v>10994.517589041096</v>
      </c>
      <c r="O41" s="62">
        <f t="shared" si="1"/>
        <v>10994.517589041096</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19461.185255707762</v>
      </c>
      <c r="L43" s="70">
        <f t="shared" ref="L43:P43" si="2">SUM(L37:L41)</f>
        <v>19461.185255707762</v>
      </c>
      <c r="M43" s="70">
        <f t="shared" si="2"/>
        <v>18511.185255707762</v>
      </c>
      <c r="N43" s="70">
        <f t="shared" si="2"/>
        <v>15461.185255707762</v>
      </c>
      <c r="O43" s="70">
        <f>SUM(O37:O41)</f>
        <v>19461.185255707762</v>
      </c>
      <c r="P43" s="70">
        <f t="shared" si="2"/>
        <v>8466.6676666666663</v>
      </c>
    </row>
    <row r="45" spans="1:16" x14ac:dyDescent="0.25">
      <c r="B45" s="68" t="s">
        <v>110</v>
      </c>
      <c r="C45" s="68"/>
      <c r="D45" s="68"/>
      <c r="E45" s="68" t="s">
        <v>111</v>
      </c>
      <c r="F45" s="68"/>
      <c r="G45" s="68"/>
      <c r="H45" s="68"/>
      <c r="I45" s="68"/>
      <c r="J45" s="68" t="s">
        <v>113</v>
      </c>
      <c r="K45" s="68"/>
    </row>
    <row r="46" spans="1:16" x14ac:dyDescent="0.25">
      <c r="A46" s="63" t="s">
        <v>114</v>
      </c>
      <c r="B46" s="62"/>
      <c r="C46" s="69" t="s">
        <v>115</v>
      </c>
      <c r="D46" s="69"/>
      <c r="E46" s="69" t="s">
        <v>116</v>
      </c>
      <c r="F46" s="62"/>
      <c r="G46" s="62"/>
      <c r="H46" s="69"/>
      <c r="I46" s="62"/>
      <c r="J46" s="69" t="s">
        <v>118</v>
      </c>
      <c r="K46" s="69" t="s">
        <v>8</v>
      </c>
    </row>
    <row r="47" spans="1:16" x14ac:dyDescent="0.25">
      <c r="B47" s="62" t="s">
        <v>70</v>
      </c>
      <c r="C47" s="62">
        <f>MMULT(C37:G37,K37:K41)/K43</f>
        <v>199.02922999346308</v>
      </c>
      <c r="D47" s="62"/>
      <c r="E47" s="62">
        <f>SUMPRODUCT(C47:C52,E18:E23)</f>
        <v>4663774.0871174466</v>
      </c>
      <c r="F47" s="62"/>
      <c r="G47" s="62"/>
      <c r="H47" s="62"/>
      <c r="I47" s="62"/>
      <c r="J47" s="69" t="s">
        <v>26</v>
      </c>
      <c r="K47" s="62" t="s">
        <v>68</v>
      </c>
      <c r="L47" s="62" t="s">
        <v>66</v>
      </c>
      <c r="M47" s="62" t="s">
        <v>64</v>
      </c>
      <c r="N47" s="62" t="s">
        <v>96</v>
      </c>
      <c r="O47" s="62" t="s">
        <v>77</v>
      </c>
    </row>
    <row r="48" spans="1:16" x14ac:dyDescent="0.25">
      <c r="B48" s="62" t="s">
        <v>73</v>
      </c>
      <c r="C48" s="62">
        <f>MMULT(C38:G38,L37:L41)/L43</f>
        <v>142.22922999346306</v>
      </c>
      <c r="D48" s="62"/>
      <c r="E48" s="62"/>
      <c r="F48" s="62"/>
      <c r="G48" s="62"/>
      <c r="H48" s="62"/>
      <c r="I48" s="62"/>
      <c r="J48" s="62" t="s">
        <v>70</v>
      </c>
      <c r="K48" s="62">
        <f t="shared" ref="K48:O49" si="3">$E18</f>
        <v>2400</v>
      </c>
      <c r="L48" s="62">
        <f t="shared" si="3"/>
        <v>2400</v>
      </c>
      <c r="M48" s="62">
        <f t="shared" si="3"/>
        <v>2400</v>
      </c>
      <c r="N48" s="62">
        <f t="shared" si="3"/>
        <v>2400</v>
      </c>
      <c r="O48" s="62">
        <f t="shared" si="3"/>
        <v>2400</v>
      </c>
    </row>
    <row r="49" spans="2:15" x14ac:dyDescent="0.25">
      <c r="B49" s="62" t="s">
        <v>68</v>
      </c>
      <c r="C49" s="62">
        <f>MMULT(C39:G39,M37:M41)/M43</f>
        <v>186.67692328006021</v>
      </c>
      <c r="D49" s="62"/>
      <c r="E49" s="62"/>
      <c r="F49" s="62"/>
      <c r="G49" s="62"/>
      <c r="H49" s="62"/>
      <c r="I49" s="62"/>
      <c r="J49" s="62" t="s">
        <v>73</v>
      </c>
      <c r="K49" s="62">
        <f t="shared" si="3"/>
        <v>854.99999999999989</v>
      </c>
      <c r="L49" s="62">
        <f t="shared" si="3"/>
        <v>854.99999999999989</v>
      </c>
      <c r="M49" s="62">
        <f t="shared" si="3"/>
        <v>854.99999999999989</v>
      </c>
      <c r="N49" s="62">
        <f t="shared" si="3"/>
        <v>854.99999999999989</v>
      </c>
      <c r="O49" s="62">
        <f t="shared" si="3"/>
        <v>854.99999999999989</v>
      </c>
    </row>
    <row r="50" spans="2:15" x14ac:dyDescent="0.25">
      <c r="B50" s="62" t="s">
        <v>96</v>
      </c>
      <c r="C50" s="62">
        <f>MMULT(C40:G40,N37:N41)/N43</f>
        <v>132.45690833692078</v>
      </c>
      <c r="D50" s="62"/>
      <c r="E50" s="62"/>
      <c r="F50" s="62"/>
      <c r="G50" s="62"/>
      <c r="H50" s="62"/>
      <c r="I50" s="62"/>
      <c r="J50" s="62" t="s">
        <v>68</v>
      </c>
      <c r="K50" s="62">
        <v>0</v>
      </c>
      <c r="L50" s="62">
        <f>$E20</f>
        <v>1726.95</v>
      </c>
      <c r="M50" s="62">
        <f>$E20</f>
        <v>1726.95</v>
      </c>
      <c r="N50" s="62">
        <f>$E20</f>
        <v>1726.95</v>
      </c>
      <c r="O50" s="62">
        <f>$E20</f>
        <v>1726.95</v>
      </c>
    </row>
    <row r="51" spans="2:15" x14ac:dyDescent="0.25">
      <c r="B51" s="62" t="s">
        <v>79</v>
      </c>
      <c r="C51" s="62">
        <f>MMULT(C41:G41,O37:O41)/O43</f>
        <v>256.0292299934631</v>
      </c>
      <c r="H51" s="62"/>
      <c r="J51" s="62" t="s">
        <v>96</v>
      </c>
      <c r="K51" s="62">
        <f>$E21</f>
        <v>7000</v>
      </c>
      <c r="L51" s="62">
        <f>$E21</f>
        <v>7000</v>
      </c>
      <c r="M51" s="62">
        <f>$E21</f>
        <v>7000</v>
      </c>
      <c r="N51" s="62">
        <v>0</v>
      </c>
      <c r="O51" s="62">
        <f>$E21</f>
        <v>7000</v>
      </c>
    </row>
    <row r="52" spans="2:15" x14ac:dyDescent="0.25">
      <c r="B52" s="62" t="s">
        <v>77</v>
      </c>
      <c r="C52" s="62">
        <f>MMULT(C42:G42,P37:P41)/P43</f>
        <v>122.72519633954374</v>
      </c>
      <c r="H52" s="62"/>
      <c r="J52" s="62" t="s">
        <v>79</v>
      </c>
      <c r="K52" s="62">
        <f>$E22</f>
        <v>10994.517589041096</v>
      </c>
      <c r="L52" s="62">
        <f t="shared" ref="L52:O53" si="4">$E22</f>
        <v>10994.517589041096</v>
      </c>
      <c r="M52" s="62">
        <f t="shared" si="4"/>
        <v>10994.517589041096</v>
      </c>
      <c r="N52" s="62">
        <f t="shared" si="4"/>
        <v>10994.517589041096</v>
      </c>
      <c r="O52" s="62">
        <f t="shared" si="4"/>
        <v>10994.517589041096</v>
      </c>
    </row>
    <row r="53" spans="2:15" x14ac:dyDescent="0.25">
      <c r="C53" s="62"/>
      <c r="H53" s="62"/>
      <c r="J53" s="62" t="s">
        <v>77</v>
      </c>
      <c r="K53" s="62">
        <f>$E23</f>
        <v>0</v>
      </c>
      <c r="L53" s="62">
        <f t="shared" si="4"/>
        <v>0</v>
      </c>
      <c r="M53" s="62">
        <f t="shared" si="4"/>
        <v>0</v>
      </c>
      <c r="N53" s="62">
        <f t="shared" si="4"/>
        <v>0</v>
      </c>
      <c r="O53" s="62">
        <v>0</v>
      </c>
    </row>
    <row r="54" spans="2:15" x14ac:dyDescent="0.25">
      <c r="C54" s="62"/>
      <c r="H54" s="62"/>
      <c r="J54" s="62"/>
      <c r="K54" s="62"/>
      <c r="L54" s="62"/>
      <c r="M54" s="62"/>
      <c r="N54" s="62"/>
    </row>
    <row r="55" spans="2:15" x14ac:dyDescent="0.25">
      <c r="J55" s="70" t="s">
        <v>14</v>
      </c>
      <c r="K55" s="70">
        <f>SUM(K48:K53)</f>
        <v>21249.517589041097</v>
      </c>
      <c r="L55" s="70">
        <f t="shared" ref="L55:O55" si="5">SUM(L48:L53)</f>
        <v>22976.467589041094</v>
      </c>
      <c r="M55" s="70">
        <f t="shared" si="5"/>
        <v>22976.467589041094</v>
      </c>
      <c r="N55" s="70">
        <f t="shared" si="5"/>
        <v>15976.467589041094</v>
      </c>
      <c r="O55" s="70">
        <f t="shared" si="5"/>
        <v>22976.467589041094</v>
      </c>
    </row>
    <row r="57" spans="2:15" x14ac:dyDescent="0.25">
      <c r="B57" s="68" t="s">
        <v>119</v>
      </c>
      <c r="C57" s="68"/>
      <c r="D57" s="68"/>
      <c r="E57" s="68" t="s">
        <v>120</v>
      </c>
      <c r="F57" s="68"/>
      <c r="G57" s="68"/>
      <c r="H57" s="68"/>
      <c r="I57" s="68"/>
      <c r="J57" s="98" t="s">
        <v>196</v>
      </c>
      <c r="K57" s="99"/>
      <c r="L57" s="100"/>
      <c r="M57" s="101"/>
      <c r="N57" s="102"/>
    </row>
    <row r="58" spans="2:15" x14ac:dyDescent="0.25">
      <c r="B58" s="62"/>
      <c r="C58" s="69" t="s">
        <v>122</v>
      </c>
      <c r="D58" s="69"/>
      <c r="E58" s="69" t="s">
        <v>116</v>
      </c>
      <c r="F58" s="69"/>
      <c r="G58" s="69"/>
      <c r="H58" s="69"/>
      <c r="J58" s="103"/>
      <c r="K58" s="88"/>
      <c r="L58" s="88"/>
      <c r="M58" s="38"/>
      <c r="N58" s="39"/>
    </row>
    <row r="59" spans="2:15" x14ac:dyDescent="0.25">
      <c r="B59" s="62" t="s">
        <v>68</v>
      </c>
      <c r="C59" s="62">
        <f>SUMPRODUCT(K48:K53,C37:C42)/K55</f>
        <v>171.80160547722062</v>
      </c>
      <c r="E59" s="62">
        <f>SUMPRODUCT(C59:C63,M18:M22)</f>
        <v>3955810.1342334002</v>
      </c>
      <c r="F59" s="62"/>
      <c r="G59" s="62"/>
      <c r="H59" s="62"/>
      <c r="J59" s="104" t="s">
        <v>135</v>
      </c>
      <c r="K59" s="105" t="s">
        <v>136</v>
      </c>
      <c r="L59" s="88"/>
      <c r="M59" s="38"/>
      <c r="N59" s="39"/>
    </row>
    <row r="60" spans="2:15" x14ac:dyDescent="0.25">
      <c r="B60" s="62" t="s">
        <v>66</v>
      </c>
      <c r="C60" s="62">
        <f>SUMPRODUCT(L48:L53,D37:D42)/L55</f>
        <v>273.48669860785628</v>
      </c>
      <c r="E60" s="62"/>
      <c r="F60" s="62"/>
      <c r="G60" s="62"/>
      <c r="H60" s="62"/>
      <c r="J60" s="106">
        <f>M84</f>
        <v>2.1432105229475518E-2</v>
      </c>
      <c r="K60" s="107">
        <f>J60*E18</f>
        <v>51.437052550741242</v>
      </c>
      <c r="L60" s="107"/>
      <c r="M60" s="38"/>
      <c r="N60" s="39"/>
    </row>
    <row r="61" spans="2:15" x14ac:dyDescent="0.25">
      <c r="B61" s="62" t="s">
        <v>64</v>
      </c>
      <c r="C61" s="62">
        <f>SUMPRODUCT(M48:M53,E37:E42)/M55</f>
        <v>188.08669860785628</v>
      </c>
      <c r="E61" s="62"/>
      <c r="F61" s="62"/>
      <c r="G61" s="62"/>
      <c r="H61" s="62"/>
      <c r="J61" s="106">
        <f>M84</f>
        <v>2.1432105229475518E-2</v>
      </c>
      <c r="K61" s="107">
        <f t="shared" ref="K61:K65" si="6">J61*E19</f>
        <v>18.324449971201567</v>
      </c>
      <c r="L61" s="107"/>
      <c r="M61" s="38"/>
      <c r="N61" s="39"/>
    </row>
    <row r="62" spans="2:15" x14ac:dyDescent="0.25">
      <c r="B62" s="62" t="s">
        <v>96</v>
      </c>
      <c r="C62" s="62">
        <f>SUMPRODUCT(N48:N53,F37:F42)/N55</f>
        <v>137.89891980219602</v>
      </c>
      <c r="E62" s="62"/>
      <c r="F62" s="62"/>
      <c r="G62" s="62"/>
      <c r="H62" s="62"/>
      <c r="J62" s="106">
        <f>M84</f>
        <v>2.1432105229475518E-2</v>
      </c>
      <c r="K62" s="107">
        <f t="shared" si="6"/>
        <v>37.012174126042744</v>
      </c>
      <c r="L62" s="107"/>
      <c r="M62" s="88"/>
      <c r="N62" s="108"/>
    </row>
    <row r="63" spans="2:15" x14ac:dyDescent="0.25">
      <c r="B63" s="62" t="s">
        <v>77</v>
      </c>
      <c r="C63" s="62">
        <f>SUMPRODUCT(O48:O53,G37:G42)/O55</f>
        <v>234.62279377024592</v>
      </c>
      <c r="E63" s="62"/>
      <c r="F63" s="62"/>
      <c r="G63" s="62"/>
      <c r="H63" s="62"/>
      <c r="J63" s="106">
        <v>0</v>
      </c>
      <c r="K63" s="107">
        <f t="shared" si="6"/>
        <v>0</v>
      </c>
      <c r="L63" s="107"/>
      <c r="M63" s="88"/>
      <c r="N63" s="108"/>
    </row>
    <row r="64" spans="2:15" x14ac:dyDescent="0.25">
      <c r="B64" s="62"/>
      <c r="C64" s="62"/>
      <c r="E64" s="62"/>
      <c r="F64" s="62"/>
      <c r="G64" s="62"/>
      <c r="H64" s="62"/>
      <c r="J64" s="106">
        <f>M84</f>
        <v>2.1432105229475518E-2</v>
      </c>
      <c r="K64" s="107">
        <f t="shared" si="6"/>
        <v>235.63565791564824</v>
      </c>
      <c r="L64" s="107"/>
      <c r="M64" s="88"/>
      <c r="N64" s="108"/>
    </row>
    <row r="65" spans="1:17" x14ac:dyDescent="0.25">
      <c r="B65" s="62"/>
      <c r="C65" s="62"/>
      <c r="E65" s="62"/>
      <c r="F65" s="62"/>
      <c r="G65" s="62"/>
      <c r="H65" s="62"/>
      <c r="J65" s="106">
        <f>M84</f>
        <v>2.1432105229475518E-2</v>
      </c>
      <c r="K65" s="107">
        <f t="shared" si="6"/>
        <v>0</v>
      </c>
      <c r="L65" s="107"/>
      <c r="M65" s="88"/>
      <c r="N65" s="108"/>
    </row>
    <row r="66" spans="1:17" x14ac:dyDescent="0.25">
      <c r="A66" s="90"/>
      <c r="B66" s="90"/>
      <c r="C66" s="90"/>
      <c r="D66" s="90"/>
      <c r="E66" s="90"/>
      <c r="F66" s="90"/>
      <c r="G66" s="90"/>
      <c r="H66" s="90"/>
      <c r="I66" s="90"/>
      <c r="J66" s="106"/>
      <c r="K66" s="107"/>
      <c r="L66" s="107"/>
      <c r="M66" s="88"/>
      <c r="N66" s="108"/>
      <c r="O66" s="88"/>
      <c r="P66" s="90"/>
      <c r="Q66" s="97"/>
    </row>
    <row r="67" spans="1:17" x14ac:dyDescent="0.25">
      <c r="I67" s="93"/>
      <c r="J67" s="103"/>
      <c r="K67" s="109">
        <f>SUM(K60:K65)</f>
        <v>342.40933456363382</v>
      </c>
      <c r="L67" s="88"/>
      <c r="M67" s="88"/>
      <c r="N67" s="108"/>
      <c r="O67" s="88"/>
    </row>
    <row r="68" spans="1:17" x14ac:dyDescent="0.25">
      <c r="I68" s="90"/>
      <c r="J68" s="103"/>
      <c r="K68" s="88"/>
      <c r="L68" s="88"/>
      <c r="M68" s="88"/>
      <c r="N68" s="108"/>
      <c r="O68" s="90"/>
    </row>
    <row r="69" spans="1:17" x14ac:dyDescent="0.25">
      <c r="J69" s="103"/>
      <c r="K69" s="88"/>
      <c r="L69" s="88"/>
      <c r="M69" s="88"/>
      <c r="N69" s="108"/>
      <c r="O69" s="90"/>
    </row>
    <row r="70" spans="1:17" x14ac:dyDescent="0.25">
      <c r="J70" s="110" t="s">
        <v>197</v>
      </c>
      <c r="K70" s="111"/>
      <c r="L70" s="88"/>
      <c r="M70" s="88"/>
      <c r="N70" s="108"/>
      <c r="O70" s="90"/>
    </row>
    <row r="71" spans="1:17" x14ac:dyDescent="0.25">
      <c r="J71" s="103"/>
      <c r="K71" s="88"/>
      <c r="L71" s="88"/>
      <c r="M71" s="88"/>
      <c r="N71" s="108"/>
      <c r="O71" s="90"/>
    </row>
    <row r="72" spans="1:17" x14ac:dyDescent="0.25">
      <c r="J72" s="104" t="s">
        <v>149</v>
      </c>
      <c r="K72" s="105" t="s">
        <v>150</v>
      </c>
      <c r="L72" s="88"/>
      <c r="M72" s="88"/>
      <c r="N72" s="108"/>
      <c r="O72" s="90"/>
    </row>
    <row r="73" spans="1:17" x14ac:dyDescent="0.25">
      <c r="J73" s="106">
        <f>M84</f>
        <v>2.1432105229475518E-2</v>
      </c>
      <c r="K73" s="107">
        <f>J73*M18</f>
        <v>20.360499968001744</v>
      </c>
      <c r="L73" s="107"/>
      <c r="M73" s="88"/>
      <c r="N73" s="108"/>
      <c r="O73" s="90"/>
    </row>
    <row r="74" spans="1:17" x14ac:dyDescent="0.25">
      <c r="J74" s="106">
        <f>M84</f>
        <v>2.1432105229475518E-2</v>
      </c>
      <c r="K74" s="107">
        <f t="shared" ref="K74:K77" si="7">J74*M19</f>
        <v>2.1432105229475518E-5</v>
      </c>
      <c r="L74" s="107"/>
      <c r="M74" s="88"/>
      <c r="N74" s="108"/>
      <c r="O74" s="90"/>
    </row>
    <row r="75" spans="1:17" x14ac:dyDescent="0.25">
      <c r="J75" s="106">
        <f>M84</f>
        <v>2.1432105229475518E-2</v>
      </c>
      <c r="K75" s="107">
        <f t="shared" si="7"/>
        <v>75.369570056988906</v>
      </c>
      <c r="L75" s="107"/>
      <c r="M75" s="88"/>
      <c r="N75" s="108"/>
      <c r="O75" s="90"/>
    </row>
    <row r="76" spans="1:17" x14ac:dyDescent="0.25">
      <c r="A76" s="90"/>
      <c r="B76" s="94"/>
      <c r="C76" s="94"/>
      <c r="D76" s="94"/>
      <c r="J76" s="106">
        <v>0</v>
      </c>
      <c r="K76" s="107">
        <f t="shared" si="7"/>
        <v>0</v>
      </c>
      <c r="L76" s="107"/>
      <c r="M76" s="88"/>
      <c r="N76" s="108"/>
      <c r="O76" s="90"/>
    </row>
    <row r="77" spans="1:17" x14ac:dyDescent="0.25">
      <c r="A77" s="90"/>
      <c r="B77" s="94"/>
      <c r="C77" s="94"/>
      <c r="D77" s="94"/>
      <c r="J77" s="106">
        <f>M84</f>
        <v>2.1432105229475518E-2</v>
      </c>
      <c r="K77" s="107">
        <f t="shared" si="7"/>
        <v>235.63565791564824</v>
      </c>
      <c r="L77" s="107"/>
      <c r="M77" s="88"/>
      <c r="N77" s="108"/>
      <c r="O77" s="90"/>
    </row>
    <row r="78" spans="1:17" x14ac:dyDescent="0.25">
      <c r="A78" s="90"/>
      <c r="B78" s="95"/>
      <c r="C78" s="95"/>
      <c r="D78" s="95"/>
      <c r="J78" s="106"/>
      <c r="K78" s="107"/>
      <c r="L78" s="107"/>
      <c r="M78" s="88"/>
      <c r="N78" s="108"/>
      <c r="O78" s="90"/>
    </row>
    <row r="79" spans="1:17" x14ac:dyDescent="0.25">
      <c r="A79" s="90"/>
      <c r="J79" s="103"/>
      <c r="K79" s="109">
        <f>SUM(K73:K77)</f>
        <v>331.36574937274412</v>
      </c>
      <c r="L79" s="88"/>
      <c r="M79" s="88"/>
      <c r="N79" s="108"/>
      <c r="O79" s="90"/>
    </row>
    <row r="80" spans="1:17" x14ac:dyDescent="0.25">
      <c r="A80" s="90"/>
      <c r="J80" s="113"/>
      <c r="K80" s="38"/>
      <c r="L80" s="38"/>
      <c r="M80" s="88"/>
      <c r="N80" s="108"/>
      <c r="O80" s="90"/>
    </row>
    <row r="81" spans="1:15" x14ac:dyDescent="0.25">
      <c r="A81" s="90"/>
      <c r="H81" s="90"/>
      <c r="J81" s="113"/>
      <c r="K81" s="38"/>
      <c r="L81" s="38"/>
      <c r="M81" s="88"/>
      <c r="N81" s="108"/>
      <c r="O81" s="90"/>
    </row>
    <row r="82" spans="1:15" x14ac:dyDescent="0.25">
      <c r="A82" s="90"/>
      <c r="H82" s="90"/>
      <c r="J82" s="114"/>
      <c r="K82" s="115"/>
      <c r="L82" s="115"/>
      <c r="M82" s="115"/>
      <c r="N82" s="116"/>
      <c r="O82" s="90"/>
    </row>
    <row r="83" spans="1:15" x14ac:dyDescent="0.25">
      <c r="A83" s="90"/>
      <c r="B83" s="90"/>
      <c r="C83" s="90"/>
      <c r="D83" s="90"/>
      <c r="E83" s="112"/>
      <c r="F83" s="90"/>
      <c r="G83" s="90"/>
      <c r="H83" s="90"/>
      <c r="J83" s="114"/>
      <c r="K83" s="115" t="s">
        <v>30</v>
      </c>
      <c r="L83" s="115"/>
      <c r="M83" s="115" t="s">
        <v>198</v>
      </c>
      <c r="N83" s="116"/>
      <c r="O83" s="90"/>
    </row>
    <row r="84" spans="1:15" x14ac:dyDescent="0.25">
      <c r="A84" s="90"/>
      <c r="B84" s="90"/>
      <c r="C84" s="90"/>
      <c r="D84" s="90"/>
      <c r="E84" s="90"/>
      <c r="F84" s="90"/>
      <c r="G84" s="90"/>
      <c r="H84" s="90"/>
      <c r="J84" s="114" t="s">
        <v>199</v>
      </c>
      <c r="K84" s="115">
        <f>'25. Current tariff method 24'!B20</f>
        <v>21.432105229475518</v>
      </c>
      <c r="L84" s="115"/>
      <c r="M84" s="115">
        <f>K84*10^(-3)</f>
        <v>2.1432105229475518E-2</v>
      </c>
      <c r="N84" s="116"/>
      <c r="O84" s="90"/>
    </row>
    <row r="85" spans="1:15" x14ac:dyDescent="0.25">
      <c r="A85" s="90"/>
      <c r="B85" s="90"/>
      <c r="C85" s="90"/>
      <c r="D85" s="90"/>
      <c r="E85" s="90"/>
      <c r="F85" s="90"/>
      <c r="G85" s="90"/>
      <c r="H85" s="90"/>
      <c r="J85" s="117"/>
      <c r="K85" s="118"/>
      <c r="L85" s="118"/>
      <c r="M85" s="118"/>
      <c r="N85" s="119"/>
      <c r="O85" s="90"/>
    </row>
    <row r="86" spans="1:15" x14ac:dyDescent="0.25">
      <c r="A86" s="90"/>
      <c r="B86" s="93"/>
      <c r="C86" s="93"/>
      <c r="D86" s="93"/>
      <c r="E86" s="93"/>
      <c r="F86" s="93"/>
      <c r="G86" s="93"/>
      <c r="H86" s="90"/>
      <c r="O86" s="90"/>
    </row>
    <row r="87" spans="1:15" x14ac:dyDescent="0.25">
      <c r="B87" s="68" t="s">
        <v>152</v>
      </c>
      <c r="J87" s="68" t="s">
        <v>153</v>
      </c>
    </row>
    <row r="88" spans="1:15" x14ac:dyDescent="0.25">
      <c r="B88" s="69" t="s">
        <v>154</v>
      </c>
      <c r="C88" s="69" t="s">
        <v>155</v>
      </c>
      <c r="D88" s="69" t="s">
        <v>156</v>
      </c>
      <c r="E88" s="69" t="s">
        <v>156</v>
      </c>
      <c r="F88" s="69" t="s">
        <v>155</v>
      </c>
      <c r="G88" s="69" t="s">
        <v>156</v>
      </c>
      <c r="J88" s="75" t="s">
        <v>157</v>
      </c>
      <c r="K88" s="75"/>
      <c r="L88" s="75"/>
    </row>
    <row r="89" spans="1:15" x14ac:dyDescent="0.25">
      <c r="B89" s="62"/>
      <c r="C89" s="62" t="s">
        <v>64</v>
      </c>
      <c r="D89" s="62" t="s">
        <v>68</v>
      </c>
      <c r="E89" s="62" t="s">
        <v>66</v>
      </c>
      <c r="F89" s="62" t="s">
        <v>96</v>
      </c>
      <c r="G89" s="62" t="s">
        <v>77</v>
      </c>
      <c r="J89" s="74"/>
      <c r="K89" s="69" t="s">
        <v>158</v>
      </c>
      <c r="L89" s="69" t="s">
        <v>159</v>
      </c>
      <c r="N89" s="53">
        <f>SUM(K90:K95)</f>
        <v>794.40709534368079</v>
      </c>
    </row>
    <row r="90" spans="1:15" x14ac:dyDescent="0.25">
      <c r="B90" s="69" t="s">
        <v>160</v>
      </c>
      <c r="C90" s="62">
        <f>M20</f>
        <v>3516.6666666666665</v>
      </c>
      <c r="D90" s="62">
        <f>M18</f>
        <v>950</v>
      </c>
      <c r="E90" s="62">
        <f>M19</f>
        <v>1E-3</v>
      </c>
      <c r="F90" s="62">
        <f>M21</f>
        <v>4000</v>
      </c>
      <c r="G90" s="62">
        <f>M22</f>
        <v>10994.517589041096</v>
      </c>
      <c r="J90" s="76" t="s">
        <v>70</v>
      </c>
      <c r="K90" s="62">
        <f>(E37*K39+F37*K40)/SUM(K39,K40)</f>
        <v>140.93569844789357</v>
      </c>
      <c r="L90" s="62">
        <f>(C37*K37+D37*K38+G37*K41)/SUM(K37,K38,K41)</f>
        <v>235.58739756316055</v>
      </c>
      <c r="N90" s="53">
        <f>SUM(L90:L95)</f>
        <v>1330.6712443714666</v>
      </c>
    </row>
    <row r="91" spans="1:15" x14ac:dyDescent="0.25">
      <c r="B91" s="69" t="s">
        <v>161</v>
      </c>
      <c r="C91" s="62">
        <f>C90*C61</f>
        <v>661438.22343762789</v>
      </c>
      <c r="D91" s="62">
        <f>D90*C59</f>
        <v>163211.52520335958</v>
      </c>
      <c r="E91" s="62">
        <f>E90*C60</f>
        <v>0.27348669860785629</v>
      </c>
      <c r="F91" s="62">
        <f>F90*C62</f>
        <v>551595.67920878413</v>
      </c>
      <c r="G91" s="62">
        <f>G90*C63</f>
        <v>2579564.4328969303</v>
      </c>
      <c r="J91" s="76" t="s">
        <v>73</v>
      </c>
      <c r="K91" s="62">
        <f>(E38*L39+F38*L40)/SUM(L39,L40)</f>
        <v>84.135698447893574</v>
      </c>
      <c r="L91" s="62">
        <f>(C38*L37+D38*L38+G38*L41)/SUM(L37,L38,L41)</f>
        <v>178.78739756316054</v>
      </c>
    </row>
    <row r="92" spans="1:15" x14ac:dyDescent="0.25">
      <c r="J92" s="76" t="s">
        <v>68</v>
      </c>
      <c r="K92" s="62">
        <f>(E39*M39+F39*M40)/SUM(M39,M40)</f>
        <v>177.13569844789359</v>
      </c>
      <c r="L92" s="62">
        <f>(C39*M37+D39*M38+G39*M41)/SUM(M37,M38,M41)</f>
        <v>193.20001076900266</v>
      </c>
    </row>
    <row r="93" spans="1:15" x14ac:dyDescent="0.25">
      <c r="C93" s="62" t="s">
        <v>162</v>
      </c>
      <c r="J93" s="76" t="s">
        <v>96</v>
      </c>
      <c r="K93" s="62">
        <f>(E40*N39+F40*N40)/SUM(N39,N40)</f>
        <v>92.2</v>
      </c>
      <c r="L93" s="62">
        <f>(C40*N37+D40*N38+G40*N41)/SUM(N37,N38,N41)</f>
        <v>144.30921754437537</v>
      </c>
    </row>
    <row r="94" spans="1:15" x14ac:dyDescent="0.25">
      <c r="C94" s="62"/>
      <c r="J94" s="76" t="s">
        <v>79</v>
      </c>
      <c r="K94" s="62">
        <f>(E41*O39+F41*O40)/SUM(O39,O40)</f>
        <v>197.93569844789357</v>
      </c>
      <c r="L94" s="62">
        <f>(C41*O37+D41*O38+G41*O41)/SUM(O37,O38,O41)</f>
        <v>292.58739756316055</v>
      </c>
    </row>
    <row r="95" spans="1:15" x14ac:dyDescent="0.25">
      <c r="C95" s="62"/>
      <c r="J95" s="76" t="s">
        <v>77</v>
      </c>
      <c r="K95" s="62">
        <f>(E42*P39+F42*P40)/SUM(P39,P40)</f>
        <v>102.06430155210643</v>
      </c>
      <c r="L95" s="62">
        <f>(C42*P37+D42*P38+G42*P41)/SUM(P37,P38,P41)</f>
        <v>286.19982336860699</v>
      </c>
    </row>
    <row r="96" spans="1:15" x14ac:dyDescent="0.25">
      <c r="B96" s="68" t="s">
        <v>163</v>
      </c>
      <c r="J96" s="68" t="s">
        <v>164</v>
      </c>
      <c r="K96" s="62"/>
      <c r="L96" s="62"/>
    </row>
    <row r="97" spans="2:12" ht="45.75" x14ac:dyDescent="0.25">
      <c r="C97" s="76" t="s">
        <v>165</v>
      </c>
      <c r="D97" s="76" t="s">
        <v>166</v>
      </c>
      <c r="E97" s="76" t="s">
        <v>167</v>
      </c>
      <c r="F97" s="76" t="s">
        <v>168</v>
      </c>
      <c r="G97" s="76" t="s">
        <v>169</v>
      </c>
      <c r="J97" s="76" t="s">
        <v>170</v>
      </c>
      <c r="K97" s="62">
        <f>SUMPRODUCT(C98:C103,J60:J65)</f>
        <v>178.00450160177149</v>
      </c>
      <c r="L97" s="62"/>
    </row>
    <row r="98" spans="2:12" ht="45.75" x14ac:dyDescent="0.25">
      <c r="B98" s="76" t="s">
        <v>70</v>
      </c>
      <c r="C98" s="62">
        <f>SUM($D$90,$E$90,$G$90)/SUM($E$18:$E$23)*E18</f>
        <v>1247.6610907488509</v>
      </c>
      <c r="D98" s="62" t="s">
        <v>171</v>
      </c>
      <c r="E98" s="62">
        <f>E18-C98</f>
        <v>1152.3389092511491</v>
      </c>
      <c r="F98" s="62">
        <f>C98*L90</f>
        <v>293933.22941033606</v>
      </c>
      <c r="G98" s="62">
        <f>E98*K90</f>
        <v>162405.68902399455</v>
      </c>
      <c r="J98" s="76" t="s">
        <v>172</v>
      </c>
      <c r="K98" s="62">
        <f>K67-K97</f>
        <v>164.40483296186233</v>
      </c>
      <c r="L98" s="62"/>
    </row>
    <row r="99" spans="2:12" ht="45.75" x14ac:dyDescent="0.25">
      <c r="B99" s="76" t="s">
        <v>73</v>
      </c>
      <c r="C99" s="62">
        <f t="shared" ref="C99:C103" si="8">SUM($D$90,$E$90,$G$90)/SUM($E$18:$E$23)*E19</f>
        <v>444.4792635792781</v>
      </c>
      <c r="D99" s="62" t="s">
        <v>171</v>
      </c>
      <c r="E99" s="62">
        <f t="shared" ref="E99:E103" si="9">E19-C99</f>
        <v>410.52073642072179</v>
      </c>
      <c r="F99" s="62">
        <f t="shared" ref="F99:F103" si="10">C99*L91</f>
        <v>79467.290806129211</v>
      </c>
      <c r="G99" s="62">
        <f t="shared" ref="G99:G103" si="11">E99*K91</f>
        <v>34539.448886101047</v>
      </c>
      <c r="J99" s="76" t="s">
        <v>173</v>
      </c>
      <c r="K99" s="62">
        <f>D90*J73+E90*J74+G90*J77</f>
        <v>255.9961793157552</v>
      </c>
      <c r="L99" s="62"/>
    </row>
    <row r="100" spans="2:12" ht="45.75" x14ac:dyDescent="0.25">
      <c r="B100" s="76" t="s">
        <v>68</v>
      </c>
      <c r="C100" s="62">
        <f t="shared" si="8"/>
        <v>897.7701336119701</v>
      </c>
      <c r="D100" s="62" t="s">
        <v>171</v>
      </c>
      <c r="E100" s="62">
        <f t="shared" si="9"/>
        <v>829.17986638802995</v>
      </c>
      <c r="F100" s="62">
        <f t="shared" si="10"/>
        <v>173449.19948192159</v>
      </c>
      <c r="G100" s="62">
        <f t="shared" si="11"/>
        <v>146877.35477157476</v>
      </c>
      <c r="J100" s="76" t="s">
        <v>174</v>
      </c>
      <c r="K100" s="62">
        <f>K79-K99</f>
        <v>75.36957005698892</v>
      </c>
      <c r="L100" s="62"/>
    </row>
    <row r="101" spans="2:12" ht="23.25" x14ac:dyDescent="0.25">
      <c r="B101" s="76" t="s">
        <v>96</v>
      </c>
      <c r="C101" s="62">
        <f t="shared" si="8"/>
        <v>3639.0115146841486</v>
      </c>
      <c r="D101" s="62" t="s">
        <v>171</v>
      </c>
      <c r="E101" s="62">
        <f t="shared" si="9"/>
        <v>3360.9884853158514</v>
      </c>
      <c r="F101" s="62">
        <f t="shared" si="10"/>
        <v>525142.90431904176</v>
      </c>
      <c r="G101" s="62">
        <f t="shared" si="11"/>
        <v>309883.13834612153</v>
      </c>
      <c r="H101" s="69"/>
      <c r="J101" s="76" t="s">
        <v>175</v>
      </c>
      <c r="K101" s="62">
        <f>K98+K100</f>
        <v>239.77440301885125</v>
      </c>
      <c r="L101" s="62"/>
    </row>
    <row r="102" spans="2:12" ht="23.25" x14ac:dyDescent="0.25">
      <c r="B102" s="76" t="s">
        <v>79</v>
      </c>
      <c r="C102" s="62">
        <f t="shared" si="8"/>
        <v>5715.5965864168502</v>
      </c>
      <c r="D102" s="62" t="s">
        <v>171</v>
      </c>
      <c r="E102" s="62">
        <f t="shared" si="9"/>
        <v>5278.9210026242454</v>
      </c>
      <c r="F102" s="62">
        <f t="shared" si="10"/>
        <v>1672311.5307405903</v>
      </c>
      <c r="G102" s="62">
        <f t="shared" si="11"/>
        <v>1044886.9157056846</v>
      </c>
      <c r="H102" s="69"/>
      <c r="J102" s="76" t="s">
        <v>176</v>
      </c>
      <c r="K102" s="62">
        <f>K97+K99</f>
        <v>434.00068091752667</v>
      </c>
      <c r="L102" s="62"/>
    </row>
    <row r="103" spans="2:12" x14ac:dyDescent="0.25">
      <c r="B103" s="76" t="s">
        <v>77</v>
      </c>
      <c r="C103" s="62">
        <f t="shared" si="8"/>
        <v>0</v>
      </c>
      <c r="D103" s="62" t="s">
        <v>171</v>
      </c>
      <c r="E103" s="62">
        <f t="shared" si="9"/>
        <v>0</v>
      </c>
      <c r="F103" s="62">
        <f t="shared" si="10"/>
        <v>0</v>
      </c>
      <c r="G103" s="62">
        <f t="shared" si="11"/>
        <v>0</v>
      </c>
      <c r="H103" s="69"/>
      <c r="J103" s="76"/>
      <c r="K103" s="62"/>
      <c r="L103" s="62"/>
    </row>
    <row r="104" spans="2:12" x14ac:dyDescent="0.25">
      <c r="B104" s="76"/>
      <c r="C104" s="62"/>
      <c r="D104" s="62"/>
      <c r="E104" s="62"/>
      <c r="F104" s="62"/>
      <c r="G104" s="62"/>
      <c r="L104" s="62"/>
    </row>
    <row r="105" spans="2:12" x14ac:dyDescent="0.25">
      <c r="B105" s="76" t="s">
        <v>177</v>
      </c>
      <c r="C105" s="62">
        <f>SUM(C98:C103)</f>
        <v>11944.518589041098</v>
      </c>
      <c r="D105" s="62"/>
      <c r="E105" s="62">
        <f>SUM(E98:E103)</f>
        <v>11031.948999999997</v>
      </c>
      <c r="F105" s="62">
        <f>SUM(F98:F103)</f>
        <v>2744304.1547580189</v>
      </c>
      <c r="G105" s="62">
        <f>SUM(G98:G103)</f>
        <v>1698592.5467334765</v>
      </c>
    </row>
    <row r="106" spans="2:12" x14ac:dyDescent="0.25">
      <c r="B106" s="76"/>
      <c r="C106" s="62"/>
      <c r="D106" s="62"/>
      <c r="E106" s="62"/>
      <c r="F106" s="62"/>
      <c r="G106" s="62"/>
    </row>
    <row r="107" spans="2:12" ht="23.25" x14ac:dyDescent="0.25">
      <c r="B107" s="76" t="s">
        <v>178</v>
      </c>
      <c r="C107" s="62">
        <f>SUM(D90,E90,G90)</f>
        <v>11944.518589041096</v>
      </c>
      <c r="D107" s="62"/>
      <c r="E107" s="62"/>
      <c r="F107" s="62"/>
      <c r="G107" s="62"/>
    </row>
    <row r="108" spans="2:12" x14ac:dyDescent="0.25">
      <c r="B108" s="76"/>
    </row>
    <row r="109" spans="2:12" x14ac:dyDescent="0.25">
      <c r="B109" s="76"/>
    </row>
    <row r="110" spans="2:12" x14ac:dyDescent="0.25">
      <c r="B110" s="68" t="s">
        <v>179</v>
      </c>
      <c r="J110" s="68" t="s">
        <v>180</v>
      </c>
    </row>
    <row r="111" spans="2:12" ht="34.5" x14ac:dyDescent="0.25">
      <c r="B111" s="76" t="s">
        <v>169</v>
      </c>
      <c r="C111" s="78"/>
      <c r="D111" s="62">
        <f>G105</f>
        <v>1698592.5467334765</v>
      </c>
      <c r="E111" s="62"/>
      <c r="J111" s="79" t="s">
        <v>181</v>
      </c>
      <c r="K111" s="80"/>
      <c r="L111" s="81"/>
    </row>
    <row r="112" spans="2:12" ht="34.5" x14ac:dyDescent="0.25">
      <c r="B112" s="76" t="s">
        <v>182</v>
      </c>
      <c r="C112" s="78"/>
      <c r="D112" s="62">
        <f>C91+F91</f>
        <v>1213033.9026464121</v>
      </c>
      <c r="E112" s="62"/>
      <c r="J112" s="82" t="s">
        <v>183</v>
      </c>
      <c r="K112" s="83">
        <f>K101*10^6/D113</f>
        <v>82.350674850449266</v>
      </c>
      <c r="L112" s="84" t="s">
        <v>184</v>
      </c>
    </row>
    <row r="113" spans="2:12" ht="23.25" x14ac:dyDescent="0.25">
      <c r="B113" s="76" t="s">
        <v>185</v>
      </c>
      <c r="C113" s="78"/>
      <c r="D113" s="62">
        <f>SUM(D111:D112)</f>
        <v>2911626.4493798884</v>
      </c>
      <c r="E113" s="62"/>
      <c r="J113" s="82" t="s">
        <v>186</v>
      </c>
      <c r="K113" s="83">
        <f>K102*10^6/D116</f>
        <v>79.095010526466581</v>
      </c>
      <c r="L113" s="84" t="s">
        <v>187</v>
      </c>
    </row>
    <row r="114" spans="2:12" ht="34.5" x14ac:dyDescent="0.25">
      <c r="B114" s="76" t="s">
        <v>188</v>
      </c>
      <c r="C114" s="78"/>
      <c r="D114" s="62">
        <f>F105</f>
        <v>2744304.1547580189</v>
      </c>
      <c r="E114" s="62"/>
      <c r="J114" s="82" t="s">
        <v>189</v>
      </c>
      <c r="K114" s="85">
        <f>2*(ABS(K112-K113))/(K112+K113)</f>
        <v>4.0331388434220662E-2</v>
      </c>
      <c r="L114" s="84" t="s">
        <v>190</v>
      </c>
    </row>
    <row r="115" spans="2:12" ht="34.5" x14ac:dyDescent="0.25">
      <c r="B115" s="76" t="s">
        <v>191</v>
      </c>
      <c r="C115" s="78"/>
      <c r="D115" s="62">
        <f>SUM(D91,E91,G91)</f>
        <v>2742776.2315869885</v>
      </c>
      <c r="E115" s="62"/>
    </row>
    <row r="116" spans="2:12" ht="34.5" x14ac:dyDescent="0.25">
      <c r="B116" s="76" t="s">
        <v>192</v>
      </c>
      <c r="C116" s="78"/>
      <c r="D116" s="62">
        <f>SUM(D114:D115)</f>
        <v>5487080.3863450075</v>
      </c>
      <c r="E116" s="62"/>
    </row>
    <row r="117" spans="2:12" x14ac:dyDescent="0.25">
      <c r="D117" s="62"/>
      <c r="E117" s="62"/>
    </row>
    <row r="118" spans="2:12" x14ac:dyDescent="0.25">
      <c r="D118" s="62"/>
      <c r="E118" s="62"/>
    </row>
    <row r="123" spans="2:12" x14ac:dyDescent="0.25">
      <c r="E123" s="62"/>
    </row>
  </sheetData>
  <conditionalFormatting sqref="K114">
    <cfRule type="cellIs" dxfId="13" priority="1" operator="lessThan">
      <formula>0.1</formula>
    </cfRule>
    <cfRule type="cellIs" dxfId="12" priority="2" operator="greaterThan">
      <formula>0.1</formula>
    </cfRule>
  </conditionalFormatting>
  <dataValidations count="1">
    <dataValidation type="list" allowBlank="1" showInputMessage="1" showErrorMessage="1" sqref="F12" xr:uid="{00000000-0002-0000-1E00-000000000000}">
      <formula1>"Nybro (P1),New entry point (BP1)"</formula1>
    </dataValidation>
  </dataValidations>
  <pageMargins left="0.7" right="0.7" top="0.75" bottom="0.75" header="0.3" footer="0.3"/>
  <pageSetup paperSize="9"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FF0000"/>
  </sheetPr>
  <dimension ref="A1:R126"/>
  <sheetViews>
    <sheetView topLeftCell="A94" workbookViewId="0">
      <selection activeCell="A25" sqref="A25"/>
    </sheetView>
  </sheetViews>
  <sheetFormatPr defaultColWidth="9.140625" defaultRowHeight="15" x14ac:dyDescent="0.25"/>
  <cols>
    <col min="1" max="2" width="9.140625" style="53"/>
    <col min="3" max="3" width="9.42578125" style="53" bestFit="1" customWidth="1"/>
    <col min="4" max="6" width="10" style="53" bestFit="1" customWidth="1"/>
    <col min="7" max="7" width="10.5703125" style="53" bestFit="1" customWidth="1"/>
    <col min="8" max="9" width="9.140625" style="53"/>
    <col min="10" max="10" width="17.140625" style="53" customWidth="1"/>
    <col min="11" max="16" width="9.42578125" style="53" bestFit="1" customWidth="1"/>
    <col min="17"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Capacities'!F16*10^(-3)</f>
        <v>2400</v>
      </c>
      <c r="F18" s="61"/>
      <c r="G18" s="60"/>
      <c r="H18" s="60"/>
      <c r="I18" s="60"/>
      <c r="J18" s="61" t="s">
        <v>68</v>
      </c>
      <c r="K18" s="61">
        <v>56.8</v>
      </c>
      <c r="L18" s="61">
        <v>0</v>
      </c>
      <c r="M18" s="61">
        <f>'Forecasted Capacities'!F13*10^(-3)</f>
        <v>950</v>
      </c>
      <c r="N18" s="64"/>
      <c r="R18" s="62"/>
    </row>
    <row r="19" spans="1:18" x14ac:dyDescent="0.25">
      <c r="B19" s="61" t="s">
        <v>73</v>
      </c>
      <c r="C19" s="61">
        <v>56.8</v>
      </c>
      <c r="D19" s="61">
        <v>93</v>
      </c>
      <c r="E19" s="61">
        <f>'Forecasted Capacities'!F18*10^(-3)</f>
        <v>854.99999999999989</v>
      </c>
      <c r="F19" s="61"/>
      <c r="G19" s="60"/>
      <c r="H19" s="60"/>
      <c r="I19" s="60"/>
      <c r="J19" s="61" t="s">
        <v>66</v>
      </c>
      <c r="K19" s="61">
        <v>275.39999999999998</v>
      </c>
      <c r="L19" s="61">
        <v>93</v>
      </c>
      <c r="M19" s="61">
        <f>'Forecasted Capacities'!F12*10^(-3)</f>
        <v>1E-3</v>
      </c>
      <c r="N19" s="61"/>
      <c r="R19" s="62"/>
    </row>
    <row r="20" spans="1:18" x14ac:dyDescent="0.25">
      <c r="B20" s="61" t="s">
        <v>68</v>
      </c>
      <c r="C20" s="61">
        <v>56.8</v>
      </c>
      <c r="D20" s="61">
        <v>0</v>
      </c>
      <c r="E20" s="61">
        <f>'Forecasted Capacities'!F17*10^(-3)</f>
        <v>1726.95</v>
      </c>
      <c r="F20" s="61"/>
      <c r="G20" s="60"/>
      <c r="H20" s="60"/>
      <c r="I20" s="60"/>
      <c r="J20" s="61" t="s">
        <v>64</v>
      </c>
      <c r="K20" s="61">
        <v>190</v>
      </c>
      <c r="L20" s="61">
        <v>93</v>
      </c>
      <c r="M20" s="61">
        <f>'Forecasted Capacities'!F11*10^(-3)</f>
        <v>3516.6666666666665</v>
      </c>
      <c r="N20" s="61"/>
      <c r="R20" s="62"/>
    </row>
    <row r="21" spans="1:18" x14ac:dyDescent="0.25">
      <c r="B21" s="61" t="s">
        <v>96</v>
      </c>
      <c r="C21" s="61">
        <v>97.8</v>
      </c>
      <c r="D21" s="61">
        <v>93</v>
      </c>
      <c r="E21" s="61">
        <f>'Forecasted Capacities'!F22*10^(-3)</f>
        <v>7000</v>
      </c>
      <c r="F21" s="61"/>
      <c r="G21" s="60"/>
      <c r="H21" s="60"/>
      <c r="I21" s="60"/>
      <c r="J21" s="61" t="s">
        <v>96</v>
      </c>
      <c r="K21" s="61">
        <v>97.8</v>
      </c>
      <c r="L21" s="61">
        <v>93</v>
      </c>
      <c r="M21" s="61">
        <f>'Forecasted Capacities'!F21*10^(-3)</f>
        <v>4000</v>
      </c>
      <c r="N21" s="61"/>
      <c r="R21" s="62"/>
    </row>
    <row r="22" spans="1:18" x14ac:dyDescent="0.25">
      <c r="B22" s="61" t="s">
        <v>79</v>
      </c>
      <c r="C22" s="233">
        <v>0</v>
      </c>
      <c r="D22" s="233">
        <v>150</v>
      </c>
      <c r="E22" s="61">
        <f>'Forecasted Capacities'!F19*10^(-3)</f>
        <v>10994.517589041096</v>
      </c>
      <c r="F22" s="60"/>
      <c r="G22" s="60"/>
      <c r="H22" s="60"/>
      <c r="I22" s="60"/>
      <c r="J22" s="61" t="s">
        <v>77</v>
      </c>
      <c r="K22" s="233">
        <v>200</v>
      </c>
      <c r="L22" s="233">
        <v>50</v>
      </c>
      <c r="M22" s="61">
        <f>'Forecasted Capacities'!F14*10^(-3)</f>
        <v>10994.517589041096</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22976.467589041094</v>
      </c>
      <c r="F24" s="60"/>
      <c r="G24" s="60"/>
      <c r="H24" s="60"/>
      <c r="I24" s="60"/>
      <c r="J24" s="60"/>
      <c r="K24" s="60"/>
      <c r="L24" s="60"/>
      <c r="M24" s="65">
        <f>SUM(M18:M22)</f>
        <v>19461.185255707762</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'25. Current tariff method 24'!B13+'25. Current tariff method 24'!B14</f>
        <v>962.53583419482538</v>
      </c>
      <c r="F26" s="60"/>
      <c r="G26" s="60"/>
      <c r="H26" s="60"/>
      <c r="I26" s="60"/>
      <c r="J26" s="60"/>
      <c r="K26" s="60"/>
      <c r="L26" s="60"/>
      <c r="M26" s="60"/>
      <c r="N26" s="60"/>
    </row>
    <row r="27" spans="1:18" x14ac:dyDescent="0.25">
      <c r="A27" s="63" t="s">
        <v>99</v>
      </c>
      <c r="B27" s="60"/>
      <c r="C27" s="61" t="s">
        <v>100</v>
      </c>
      <c r="D27" s="60"/>
      <c r="E27" s="61">
        <f>'25. Current tariff method 24'!B14</f>
        <v>673.77508393637777</v>
      </c>
      <c r="F27" s="60"/>
      <c r="G27" s="60"/>
      <c r="H27" s="60"/>
      <c r="I27" s="60"/>
      <c r="J27" s="60"/>
      <c r="K27" s="60"/>
      <c r="L27" s="60"/>
      <c r="M27" s="60"/>
      <c r="N27" s="60"/>
    </row>
    <row r="28" spans="1:18" x14ac:dyDescent="0.25">
      <c r="A28" s="63" t="s">
        <v>101</v>
      </c>
      <c r="B28" s="60"/>
      <c r="C28" s="61" t="s">
        <v>102</v>
      </c>
      <c r="D28" s="61"/>
      <c r="E28" s="61">
        <v>0.5</v>
      </c>
      <c r="F28" s="60"/>
      <c r="G28" s="60"/>
      <c r="H28" s="60"/>
      <c r="I28" s="60"/>
      <c r="J28" s="60"/>
      <c r="K28" s="60"/>
      <c r="L28" s="60"/>
      <c r="M28" s="60"/>
      <c r="N28" s="60"/>
    </row>
    <row r="29" spans="1:18" x14ac:dyDescent="0.25">
      <c r="A29" s="63" t="s">
        <v>101</v>
      </c>
      <c r="B29" s="60"/>
      <c r="C29" s="61" t="s">
        <v>103</v>
      </c>
      <c r="D29" s="61"/>
      <c r="E29" s="61">
        <f>E27*E28</f>
        <v>336.88754196818888</v>
      </c>
      <c r="F29" s="60"/>
      <c r="G29" s="60"/>
      <c r="H29" s="60"/>
      <c r="I29" s="60"/>
      <c r="J29" s="60"/>
      <c r="K29" s="60"/>
      <c r="L29" s="60"/>
      <c r="N29" s="60"/>
    </row>
    <row r="30" spans="1:18" x14ac:dyDescent="0.25">
      <c r="B30" s="60"/>
      <c r="C30" s="61" t="s">
        <v>104</v>
      </c>
      <c r="D30" s="61"/>
      <c r="E30" s="61">
        <f>E27*(1-E28)</f>
        <v>336.88754196818888</v>
      </c>
      <c r="F30" s="60"/>
      <c r="G30" s="60"/>
      <c r="H30" s="60"/>
      <c r="I30" s="60"/>
      <c r="J30" s="60"/>
      <c r="K30" s="60"/>
      <c r="L30" s="60"/>
      <c r="M30" s="60"/>
      <c r="N30" s="60"/>
    </row>
    <row r="31" spans="1:18" x14ac:dyDescent="0.25">
      <c r="B31" s="60"/>
      <c r="C31" s="61" t="s">
        <v>105</v>
      </c>
      <c r="D31" s="60"/>
      <c r="E31" s="61">
        <f>'25. Current tariff method 24'!B13</f>
        <v>288.76075025844767</v>
      </c>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 t="shared" ref="K37:L41" si="0">$M18</f>
        <v>950</v>
      </c>
      <c r="L37" s="62">
        <f t="shared" si="0"/>
        <v>950</v>
      </c>
      <c r="M37" s="62">
        <v>0</v>
      </c>
      <c r="N37" s="62">
        <f>$M18</f>
        <v>950</v>
      </c>
      <c r="O37" s="62">
        <f t="shared" ref="O37:P41" si="1">$M18</f>
        <v>950</v>
      </c>
      <c r="P37" s="62">
        <f t="shared" si="1"/>
        <v>950</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1E-3</v>
      </c>
      <c r="L38" s="62">
        <f t="shared" si="0"/>
        <v>1E-3</v>
      </c>
      <c r="M38" s="62">
        <f>$M19</f>
        <v>1E-3</v>
      </c>
      <c r="N38" s="62">
        <f>$M19</f>
        <v>1E-3</v>
      </c>
      <c r="O38" s="62">
        <f t="shared" si="1"/>
        <v>1E-3</v>
      </c>
      <c r="P38" s="62">
        <f t="shared" si="1"/>
        <v>1E-3</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3516.6666666666665</v>
      </c>
      <c r="L39" s="62">
        <f t="shared" si="0"/>
        <v>3516.6666666666665</v>
      </c>
      <c r="M39" s="62">
        <f>$M20</f>
        <v>3516.6666666666665</v>
      </c>
      <c r="N39" s="62">
        <f>$M20</f>
        <v>3516.6666666666665</v>
      </c>
      <c r="O39" s="62">
        <f t="shared" si="1"/>
        <v>3516.6666666666665</v>
      </c>
      <c r="P39" s="62">
        <f t="shared" si="1"/>
        <v>3516.6666666666665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4000</v>
      </c>
      <c r="L40" s="62">
        <f t="shared" si="0"/>
        <v>4000</v>
      </c>
      <c r="M40" s="62">
        <f>$M21</f>
        <v>4000</v>
      </c>
      <c r="N40" s="62">
        <v>0</v>
      </c>
      <c r="O40" s="62">
        <f t="shared" si="1"/>
        <v>4000</v>
      </c>
      <c r="P40" s="62">
        <f t="shared" si="1"/>
        <v>4000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10994.517589041096</v>
      </c>
      <c r="L41" s="62">
        <f t="shared" si="0"/>
        <v>10994.517589041096</v>
      </c>
      <c r="M41" s="62">
        <f>$M22</f>
        <v>10994.517589041096</v>
      </c>
      <c r="N41" s="62">
        <f>$M22</f>
        <v>10994.517589041096</v>
      </c>
      <c r="O41" s="62">
        <f t="shared" si="1"/>
        <v>10994.517589041096</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19461.185255707762</v>
      </c>
      <c r="L43" s="70">
        <f t="shared" ref="L43:P43" si="2">SUM(L37:L41)</f>
        <v>19461.185255707762</v>
      </c>
      <c r="M43" s="70">
        <f t="shared" si="2"/>
        <v>18511.185255707762</v>
      </c>
      <c r="N43" s="70">
        <f t="shared" si="2"/>
        <v>15461.185255707762</v>
      </c>
      <c r="O43" s="70">
        <f>SUM(O37:O41)</f>
        <v>19461.185255707762</v>
      </c>
      <c r="P43" s="70">
        <f t="shared" si="2"/>
        <v>8466.6676666666663</v>
      </c>
    </row>
    <row r="45" spans="1:16" x14ac:dyDescent="0.25">
      <c r="B45" s="68" t="s">
        <v>110</v>
      </c>
      <c r="C45" s="68"/>
      <c r="D45" s="68"/>
      <c r="E45" s="68" t="s">
        <v>111</v>
      </c>
      <c r="F45" s="68"/>
      <c r="G45" s="68"/>
      <c r="H45" s="68"/>
      <c r="I45" s="68"/>
      <c r="J45" s="68" t="s">
        <v>113</v>
      </c>
      <c r="K45" s="68"/>
    </row>
    <row r="46" spans="1:16" x14ac:dyDescent="0.25">
      <c r="A46" s="63" t="s">
        <v>114</v>
      </c>
      <c r="B46" s="62"/>
      <c r="C46" s="69" t="s">
        <v>115</v>
      </c>
      <c r="D46" s="69"/>
      <c r="E46" s="69" t="s">
        <v>116</v>
      </c>
      <c r="F46" s="62"/>
      <c r="G46" s="62"/>
      <c r="H46" s="69"/>
      <c r="I46" s="62"/>
      <c r="J46" s="69" t="s">
        <v>118</v>
      </c>
      <c r="K46" s="69" t="s">
        <v>8</v>
      </c>
    </row>
    <row r="47" spans="1:16" x14ac:dyDescent="0.25">
      <c r="B47" s="62" t="s">
        <v>70</v>
      </c>
      <c r="C47" s="62">
        <f>MMULT(C37:G37,K37:K41)/K43</f>
        <v>199.02922999346308</v>
      </c>
      <c r="D47" s="62"/>
      <c r="E47" s="62">
        <f>SUMPRODUCT(C47:C52,E18:E23)</f>
        <v>4663774.0871174466</v>
      </c>
      <c r="F47" s="62"/>
      <c r="G47" s="62"/>
      <c r="H47" s="62"/>
      <c r="I47" s="62"/>
      <c r="J47" s="69" t="s">
        <v>26</v>
      </c>
      <c r="K47" s="62" t="s">
        <v>68</v>
      </c>
      <c r="L47" s="62" t="s">
        <v>66</v>
      </c>
      <c r="M47" s="62" t="s">
        <v>64</v>
      </c>
      <c r="N47" s="62" t="s">
        <v>96</v>
      </c>
      <c r="O47" s="62" t="s">
        <v>77</v>
      </c>
    </row>
    <row r="48" spans="1:16" x14ac:dyDescent="0.25">
      <c r="B48" s="62" t="s">
        <v>73</v>
      </c>
      <c r="C48" s="62">
        <f>MMULT(C38:G38,L37:L41)/L43</f>
        <v>142.22922999346306</v>
      </c>
      <c r="D48" s="62"/>
      <c r="E48" s="62"/>
      <c r="F48" s="62"/>
      <c r="G48" s="62"/>
      <c r="H48" s="62"/>
      <c r="I48" s="62"/>
      <c r="J48" s="62" t="s">
        <v>70</v>
      </c>
      <c r="K48" s="62">
        <f t="shared" ref="K48:O49" si="3">$E18</f>
        <v>2400</v>
      </c>
      <c r="L48" s="62">
        <f t="shared" si="3"/>
        <v>2400</v>
      </c>
      <c r="M48" s="62">
        <f t="shared" si="3"/>
        <v>2400</v>
      </c>
      <c r="N48" s="62">
        <f t="shared" si="3"/>
        <v>2400</v>
      </c>
      <c r="O48" s="62">
        <f t="shared" si="3"/>
        <v>2400</v>
      </c>
    </row>
    <row r="49" spans="2:15" x14ac:dyDescent="0.25">
      <c r="B49" s="62" t="s">
        <v>68</v>
      </c>
      <c r="C49" s="62">
        <f>MMULT(C39:G39,M37:M41)/M43</f>
        <v>186.67692328006021</v>
      </c>
      <c r="D49" s="62"/>
      <c r="E49" s="62"/>
      <c r="F49" s="62"/>
      <c r="G49" s="62"/>
      <c r="H49" s="62"/>
      <c r="I49" s="62"/>
      <c r="J49" s="62" t="s">
        <v>73</v>
      </c>
      <c r="K49" s="62">
        <f t="shared" si="3"/>
        <v>854.99999999999989</v>
      </c>
      <c r="L49" s="62">
        <f t="shared" si="3"/>
        <v>854.99999999999989</v>
      </c>
      <c r="M49" s="62">
        <f t="shared" si="3"/>
        <v>854.99999999999989</v>
      </c>
      <c r="N49" s="62">
        <f t="shared" si="3"/>
        <v>854.99999999999989</v>
      </c>
      <c r="O49" s="62">
        <f t="shared" si="3"/>
        <v>854.99999999999989</v>
      </c>
    </row>
    <row r="50" spans="2:15" x14ac:dyDescent="0.25">
      <c r="B50" s="62" t="s">
        <v>96</v>
      </c>
      <c r="C50" s="62">
        <f>MMULT(C40:G40,N37:N41)/N43</f>
        <v>132.45690833692078</v>
      </c>
      <c r="D50" s="62"/>
      <c r="E50" s="62"/>
      <c r="F50" s="62"/>
      <c r="G50" s="62"/>
      <c r="H50" s="62"/>
      <c r="I50" s="62"/>
      <c r="J50" s="62" t="s">
        <v>68</v>
      </c>
      <c r="K50" s="62">
        <v>0</v>
      </c>
      <c r="L50" s="62">
        <f>$E20</f>
        <v>1726.95</v>
      </c>
      <c r="M50" s="62">
        <f>$E20</f>
        <v>1726.95</v>
      </c>
      <c r="N50" s="62">
        <f>$E20</f>
        <v>1726.95</v>
      </c>
      <c r="O50" s="62">
        <f>$E20</f>
        <v>1726.95</v>
      </c>
    </row>
    <row r="51" spans="2:15" x14ac:dyDescent="0.25">
      <c r="B51" s="62" t="s">
        <v>79</v>
      </c>
      <c r="C51" s="62">
        <f>MMULT(C41:G41,O37:O41)/O43</f>
        <v>256.0292299934631</v>
      </c>
      <c r="H51" s="62"/>
      <c r="J51" s="62" t="s">
        <v>96</v>
      </c>
      <c r="K51" s="62">
        <f>$E21</f>
        <v>7000</v>
      </c>
      <c r="L51" s="62">
        <f>$E21</f>
        <v>7000</v>
      </c>
      <c r="M51" s="62">
        <f>$E21</f>
        <v>7000</v>
      </c>
      <c r="N51" s="62">
        <v>0</v>
      </c>
      <c r="O51" s="62">
        <f>$E21</f>
        <v>7000</v>
      </c>
    </row>
    <row r="52" spans="2:15" x14ac:dyDescent="0.25">
      <c r="B52" s="62" t="s">
        <v>77</v>
      </c>
      <c r="C52" s="62">
        <f>MMULT(C42:G42,P37:P41)/P43</f>
        <v>122.72519633954374</v>
      </c>
      <c r="H52" s="62"/>
      <c r="J52" s="62" t="s">
        <v>79</v>
      </c>
      <c r="K52" s="62">
        <f>$E22</f>
        <v>10994.517589041096</v>
      </c>
      <c r="L52" s="62">
        <f t="shared" ref="L52:O53" si="4">$E22</f>
        <v>10994.517589041096</v>
      </c>
      <c r="M52" s="62">
        <f t="shared" si="4"/>
        <v>10994.517589041096</v>
      </c>
      <c r="N52" s="62">
        <f t="shared" si="4"/>
        <v>10994.517589041096</v>
      </c>
      <c r="O52" s="62">
        <f t="shared" si="4"/>
        <v>10994.517589041096</v>
      </c>
    </row>
    <row r="53" spans="2:15" x14ac:dyDescent="0.25">
      <c r="C53" s="62"/>
      <c r="H53" s="62"/>
      <c r="J53" s="62" t="s">
        <v>77</v>
      </c>
      <c r="K53" s="62">
        <f>$E23</f>
        <v>0</v>
      </c>
      <c r="L53" s="62">
        <f t="shared" si="4"/>
        <v>0</v>
      </c>
      <c r="M53" s="62">
        <f t="shared" si="4"/>
        <v>0</v>
      </c>
      <c r="N53" s="62">
        <f t="shared" si="4"/>
        <v>0</v>
      </c>
      <c r="O53" s="62">
        <v>0</v>
      </c>
    </row>
    <row r="54" spans="2:15" x14ac:dyDescent="0.25">
      <c r="C54" s="62"/>
      <c r="H54" s="62"/>
      <c r="J54" s="62"/>
      <c r="K54" s="62"/>
      <c r="L54" s="62"/>
      <c r="M54" s="62"/>
      <c r="N54" s="62"/>
    </row>
    <row r="55" spans="2:15" x14ac:dyDescent="0.25">
      <c r="J55" s="70" t="s">
        <v>14</v>
      </c>
      <c r="K55" s="70">
        <f>SUM(K48:K53)</f>
        <v>21249.517589041097</v>
      </c>
      <c r="L55" s="70">
        <f t="shared" ref="L55:O55" si="5">SUM(L48:L53)</f>
        <v>22976.467589041094</v>
      </c>
      <c r="M55" s="70">
        <f t="shared" si="5"/>
        <v>22976.467589041094</v>
      </c>
      <c r="N55" s="70">
        <f t="shared" si="5"/>
        <v>15976.467589041094</v>
      </c>
      <c r="O55" s="70">
        <f t="shared" si="5"/>
        <v>22976.467589041094</v>
      </c>
    </row>
    <row r="57" spans="2:15" x14ac:dyDescent="0.25">
      <c r="B57" s="68" t="s">
        <v>119</v>
      </c>
      <c r="C57" s="68"/>
      <c r="D57" s="68"/>
      <c r="E57" s="68" t="s">
        <v>120</v>
      </c>
      <c r="F57" s="68"/>
      <c r="G57" s="68"/>
      <c r="H57" s="68"/>
      <c r="I57" s="68"/>
      <c r="J57" s="98" t="s">
        <v>196</v>
      </c>
      <c r="K57" s="99"/>
      <c r="L57" s="100"/>
      <c r="M57" s="101"/>
      <c r="N57" s="102"/>
    </row>
    <row r="58" spans="2:15" x14ac:dyDescent="0.25">
      <c r="B58" s="62"/>
      <c r="C58" s="69" t="s">
        <v>122</v>
      </c>
      <c r="D58" s="69"/>
      <c r="E58" s="69" t="s">
        <v>116</v>
      </c>
      <c r="F58" s="69"/>
      <c r="G58" s="69"/>
      <c r="H58" s="69"/>
      <c r="J58" s="103"/>
      <c r="K58" s="88"/>
      <c r="L58" s="88"/>
      <c r="M58" s="38"/>
      <c r="N58" s="39"/>
    </row>
    <row r="59" spans="2:15" x14ac:dyDescent="0.25">
      <c r="B59" s="62" t="s">
        <v>68</v>
      </c>
      <c r="C59" s="62">
        <f>SUMPRODUCT(K48:K53,C37:C42)/K55</f>
        <v>171.80160547722062</v>
      </c>
      <c r="E59" s="62">
        <f>SUMPRODUCT(C59:C63,M18:M22)</f>
        <v>3955810.1342334002</v>
      </c>
      <c r="F59" s="62"/>
      <c r="G59" s="62"/>
      <c r="H59" s="62"/>
      <c r="J59" s="104" t="s">
        <v>135</v>
      </c>
      <c r="K59" s="105" t="s">
        <v>136</v>
      </c>
      <c r="L59" s="88"/>
      <c r="M59" s="38"/>
      <c r="N59" s="39"/>
    </row>
    <row r="60" spans="2:15" x14ac:dyDescent="0.25">
      <c r="B60" s="62" t="s">
        <v>66</v>
      </c>
      <c r="C60" s="62">
        <f>SUMPRODUCT(L48:L53,D37:D42)/L55</f>
        <v>273.48669860785628</v>
      </c>
      <c r="E60" s="62"/>
      <c r="F60" s="62"/>
      <c r="G60" s="62"/>
      <c r="H60" s="62"/>
      <c r="J60" s="106">
        <f>M85</f>
        <v>2.0512583652311341E-2</v>
      </c>
      <c r="K60" s="107">
        <f>J60*E18</f>
        <v>49.230200765547217</v>
      </c>
      <c r="L60" s="107"/>
      <c r="M60" s="38"/>
      <c r="N60" s="39"/>
    </row>
    <row r="61" spans="2:15" x14ac:dyDescent="0.25">
      <c r="B61" s="62" t="s">
        <v>64</v>
      </c>
      <c r="C61" s="62">
        <f>SUMPRODUCT(M48:M53,E37:E42)/M55</f>
        <v>188.08669860785628</v>
      </c>
      <c r="E61" s="62"/>
      <c r="F61" s="62"/>
      <c r="G61" s="62"/>
      <c r="H61" s="62"/>
      <c r="J61" s="106">
        <f>M85</f>
        <v>2.0512583652311341E-2</v>
      </c>
      <c r="K61" s="107">
        <f t="shared" ref="K61:K65" si="6">J61*E19</f>
        <v>17.538259022726194</v>
      </c>
      <c r="L61" s="107"/>
      <c r="M61" s="38"/>
      <c r="N61" s="39"/>
    </row>
    <row r="62" spans="2:15" x14ac:dyDescent="0.25">
      <c r="B62" s="62" t="s">
        <v>96</v>
      </c>
      <c r="C62" s="62">
        <f>SUMPRODUCT(N48:N53,F37:F42)/N55</f>
        <v>137.89891980219602</v>
      </c>
      <c r="E62" s="62"/>
      <c r="F62" s="62"/>
      <c r="G62" s="62"/>
      <c r="H62" s="62"/>
      <c r="J62" s="106">
        <f>M84</f>
        <v>2.4553737720817162E-2</v>
      </c>
      <c r="K62" s="107">
        <f t="shared" si="6"/>
        <v>42.403077356965198</v>
      </c>
      <c r="L62" s="107"/>
      <c r="M62" s="88"/>
      <c r="N62" s="108"/>
    </row>
    <row r="63" spans="2:15" x14ac:dyDescent="0.25">
      <c r="B63" s="62" t="s">
        <v>77</v>
      </c>
      <c r="C63" s="62">
        <f>SUMPRODUCT(O48:O53,G37:G42)/O55</f>
        <v>234.62279377024592</v>
      </c>
      <c r="E63" s="62"/>
      <c r="F63" s="62"/>
      <c r="G63" s="62"/>
      <c r="H63" s="62"/>
      <c r="J63" s="106">
        <v>0</v>
      </c>
      <c r="K63" s="107">
        <f t="shared" si="6"/>
        <v>0</v>
      </c>
      <c r="L63" s="107"/>
      <c r="M63" s="88"/>
      <c r="N63" s="108"/>
    </row>
    <row r="64" spans="2:15" x14ac:dyDescent="0.25">
      <c r="B64" s="62"/>
      <c r="C64" s="62"/>
      <c r="E64" s="62"/>
      <c r="F64" s="62"/>
      <c r="G64" s="62"/>
      <c r="H64" s="62"/>
      <c r="J64" s="106">
        <f>M88</f>
        <v>2.0512583652311341E-2</v>
      </c>
      <c r="K64" s="107">
        <f t="shared" si="6"/>
        <v>225.52596176201388</v>
      </c>
      <c r="L64" s="107"/>
      <c r="M64" s="88"/>
      <c r="N64" s="108"/>
    </row>
    <row r="65" spans="1:17" x14ac:dyDescent="0.25">
      <c r="B65" s="62"/>
      <c r="C65" s="62"/>
      <c r="E65" s="62"/>
      <c r="F65" s="62"/>
      <c r="G65" s="62"/>
      <c r="H65" s="62"/>
      <c r="J65" s="106">
        <f>M88</f>
        <v>2.0512583652311341E-2</v>
      </c>
      <c r="K65" s="107">
        <f t="shared" si="6"/>
        <v>0</v>
      </c>
      <c r="L65" s="107"/>
      <c r="M65" s="88"/>
      <c r="N65" s="108"/>
    </row>
    <row r="66" spans="1:17" x14ac:dyDescent="0.25">
      <c r="A66" s="90"/>
      <c r="B66" s="90"/>
      <c r="C66" s="90"/>
      <c r="D66" s="90"/>
      <c r="E66" s="90"/>
      <c r="F66" s="90"/>
      <c r="G66" s="90"/>
      <c r="H66" s="90"/>
      <c r="I66" s="90"/>
      <c r="J66" s="106"/>
      <c r="K66" s="107"/>
      <c r="L66" s="107"/>
      <c r="M66" s="88"/>
      <c r="N66" s="108"/>
      <c r="O66" s="88"/>
      <c r="P66" s="90"/>
      <c r="Q66" s="97"/>
    </row>
    <row r="67" spans="1:17" x14ac:dyDescent="0.25">
      <c r="I67" s="93"/>
      <c r="J67" s="103"/>
      <c r="K67" s="109">
        <f>SUM(K60:K65)</f>
        <v>334.69749890725251</v>
      </c>
      <c r="L67" s="88"/>
      <c r="M67" s="88"/>
      <c r="N67" s="108"/>
      <c r="O67" s="88"/>
    </row>
    <row r="68" spans="1:17" x14ac:dyDescent="0.25">
      <c r="I68" s="90"/>
      <c r="J68" s="103"/>
      <c r="K68" s="88"/>
      <c r="L68" s="88"/>
      <c r="M68" s="88"/>
      <c r="N68" s="108"/>
      <c r="O68" s="90"/>
    </row>
    <row r="69" spans="1:17" x14ac:dyDescent="0.25">
      <c r="J69" s="103"/>
      <c r="K69" s="88"/>
      <c r="L69" s="88"/>
      <c r="M69" s="88"/>
      <c r="N69" s="108"/>
      <c r="O69" s="90"/>
    </row>
    <row r="70" spans="1:17" x14ac:dyDescent="0.25">
      <c r="J70" s="110" t="s">
        <v>197</v>
      </c>
      <c r="K70" s="111"/>
      <c r="L70" s="88"/>
      <c r="M70" s="88"/>
      <c r="N70" s="108"/>
      <c r="O70" s="90"/>
    </row>
    <row r="71" spans="1:17" x14ac:dyDescent="0.25">
      <c r="J71" s="103"/>
      <c r="K71" s="88"/>
      <c r="L71" s="88"/>
      <c r="M71" s="88"/>
      <c r="N71" s="108"/>
      <c r="O71" s="90"/>
    </row>
    <row r="72" spans="1:17" x14ac:dyDescent="0.25">
      <c r="J72" s="104" t="s">
        <v>149</v>
      </c>
      <c r="K72" s="105" t="s">
        <v>150</v>
      </c>
      <c r="L72" s="88"/>
      <c r="M72" s="88"/>
      <c r="N72" s="108"/>
      <c r="O72" s="90"/>
    </row>
    <row r="73" spans="1:17" x14ac:dyDescent="0.25">
      <c r="J73" s="106">
        <f>M86</f>
        <v>2.0512583652311341E-2</v>
      </c>
      <c r="K73" s="107">
        <f>J73*M18</f>
        <v>19.486954469695775</v>
      </c>
      <c r="L73" s="107"/>
      <c r="M73" s="88"/>
      <c r="N73" s="108"/>
      <c r="O73" s="90"/>
    </row>
    <row r="74" spans="1:17" x14ac:dyDescent="0.25">
      <c r="J74" s="106">
        <f>M87</f>
        <v>2.6748239445263357E-2</v>
      </c>
      <c r="K74" s="107">
        <f t="shared" ref="K74:K77" si="7">J74*M19</f>
        <v>2.6748239445263359E-5</v>
      </c>
      <c r="L74" s="107"/>
      <c r="M74" s="88"/>
      <c r="N74" s="108"/>
      <c r="O74" s="90"/>
    </row>
    <row r="75" spans="1:17" x14ac:dyDescent="0.25">
      <c r="J75" s="106">
        <f>M87</f>
        <v>2.6748239445263357E-2</v>
      </c>
      <c r="K75" s="107">
        <f t="shared" si="7"/>
        <v>94.064642049176143</v>
      </c>
      <c r="L75" s="107"/>
      <c r="M75" s="88"/>
      <c r="N75" s="108"/>
      <c r="O75" s="90"/>
    </row>
    <row r="76" spans="1:17" x14ac:dyDescent="0.25">
      <c r="A76" s="90"/>
      <c r="B76" s="94"/>
      <c r="C76" s="94"/>
      <c r="D76" s="94"/>
      <c r="J76" s="106">
        <v>0</v>
      </c>
      <c r="K76" s="107">
        <f t="shared" si="7"/>
        <v>0</v>
      </c>
      <c r="L76" s="107"/>
      <c r="M76" s="88"/>
      <c r="N76" s="108"/>
      <c r="O76" s="90"/>
    </row>
    <row r="77" spans="1:17" x14ac:dyDescent="0.25">
      <c r="A77" s="90"/>
      <c r="B77" s="94"/>
      <c r="C77" s="94"/>
      <c r="D77" s="94"/>
      <c r="J77" s="106">
        <f>M88</f>
        <v>2.0512583652311341E-2</v>
      </c>
      <c r="K77" s="107">
        <f t="shared" si="7"/>
        <v>225.52596176201388</v>
      </c>
      <c r="L77" s="107"/>
      <c r="M77" s="88"/>
      <c r="N77" s="108"/>
      <c r="O77" s="90"/>
    </row>
    <row r="78" spans="1:17" x14ac:dyDescent="0.25">
      <c r="A78" s="90"/>
      <c r="B78" s="95"/>
      <c r="C78" s="95"/>
      <c r="D78" s="95"/>
      <c r="J78" s="106"/>
      <c r="K78" s="107"/>
      <c r="L78" s="107"/>
      <c r="M78" s="88"/>
      <c r="N78" s="108"/>
      <c r="O78" s="90"/>
    </row>
    <row r="79" spans="1:17" x14ac:dyDescent="0.25">
      <c r="A79" s="90"/>
      <c r="J79" s="103"/>
      <c r="K79" s="109">
        <f>SUM(K73:K77)</f>
        <v>339.07758502912526</v>
      </c>
      <c r="L79" s="88"/>
      <c r="M79" s="88"/>
      <c r="N79" s="108"/>
      <c r="O79" s="90"/>
    </row>
    <row r="80" spans="1:17" x14ac:dyDescent="0.25">
      <c r="A80" s="90"/>
      <c r="J80" s="113"/>
      <c r="K80" s="38"/>
      <c r="L80" s="38"/>
      <c r="M80" s="88"/>
      <c r="N80" s="108"/>
      <c r="O80" s="90"/>
    </row>
    <row r="81" spans="1:15" x14ac:dyDescent="0.25">
      <c r="A81" s="90"/>
      <c r="H81" s="90"/>
      <c r="J81" s="113"/>
      <c r="K81" s="38"/>
      <c r="L81" s="38"/>
      <c r="M81" s="88"/>
      <c r="N81" s="108"/>
      <c r="O81" s="90"/>
    </row>
    <row r="82" spans="1:15" x14ac:dyDescent="0.25">
      <c r="A82" s="90"/>
      <c r="H82" s="90"/>
      <c r="J82" s="114"/>
      <c r="K82" s="115"/>
      <c r="L82" s="115"/>
      <c r="M82" s="115"/>
      <c r="N82" s="116"/>
      <c r="O82" s="90"/>
    </row>
    <row r="83" spans="1:15" x14ac:dyDescent="0.25">
      <c r="A83" s="90"/>
      <c r="B83" s="90"/>
      <c r="C83" s="90"/>
      <c r="D83" s="90"/>
      <c r="E83" s="112"/>
      <c r="F83" s="90"/>
      <c r="G83" s="90"/>
      <c r="H83" s="90"/>
      <c r="J83" s="114"/>
      <c r="K83" s="115" t="s">
        <v>30</v>
      </c>
      <c r="L83" s="115"/>
      <c r="M83" s="115" t="s">
        <v>198</v>
      </c>
      <c r="N83" s="116"/>
      <c r="O83" s="90"/>
    </row>
    <row r="84" spans="1:15" x14ac:dyDescent="0.25">
      <c r="A84" s="90"/>
      <c r="B84" s="90"/>
      <c r="C84" s="90"/>
      <c r="D84" s="90"/>
      <c r="E84" s="90"/>
      <c r="F84" s="90"/>
      <c r="G84" s="90"/>
      <c r="H84" s="90"/>
      <c r="J84" s="114" t="s">
        <v>71</v>
      </c>
      <c r="K84" s="115">
        <f>'25. Current tariff method 24'!C20</f>
        <v>24.553737720817161</v>
      </c>
      <c r="L84" s="115"/>
      <c r="M84" s="115">
        <f>K84*10^(-3)</f>
        <v>2.4553737720817162E-2</v>
      </c>
      <c r="N84" s="116"/>
      <c r="O84" s="90"/>
    </row>
    <row r="85" spans="1:15" x14ac:dyDescent="0.25">
      <c r="A85" s="90"/>
      <c r="B85" s="90"/>
      <c r="C85" s="90"/>
      <c r="D85" s="90"/>
      <c r="E85" s="90"/>
      <c r="F85" s="90"/>
      <c r="G85" s="90"/>
      <c r="H85" s="90"/>
      <c r="J85" s="114" t="s">
        <v>201</v>
      </c>
      <c r="K85" s="115">
        <f>'25. Current tariff method 24'!F20</f>
        <v>20.512583652311342</v>
      </c>
      <c r="L85" s="115"/>
      <c r="M85" s="115">
        <f t="shared" ref="M85:M88" si="8">K85*10^(-3)</f>
        <v>2.0512583652311341E-2</v>
      </c>
      <c r="N85" s="116"/>
      <c r="O85" s="90"/>
    </row>
    <row r="86" spans="1:15" x14ac:dyDescent="0.25">
      <c r="A86" s="90"/>
      <c r="B86" s="90"/>
      <c r="C86" s="90"/>
      <c r="D86" s="90"/>
      <c r="E86" s="90"/>
      <c r="F86" s="90"/>
      <c r="G86" s="90"/>
      <c r="H86" s="90"/>
      <c r="J86" s="114" t="s">
        <v>67</v>
      </c>
      <c r="K86" s="115">
        <f>'25. Current tariff method 24'!F20</f>
        <v>20.512583652311342</v>
      </c>
      <c r="L86" s="115"/>
      <c r="M86" s="115">
        <f t="shared" si="8"/>
        <v>2.0512583652311341E-2</v>
      </c>
      <c r="N86" s="116"/>
      <c r="O86" s="90"/>
    </row>
    <row r="87" spans="1:15" x14ac:dyDescent="0.25">
      <c r="A87" s="90"/>
      <c r="B87" s="90"/>
      <c r="C87" s="90"/>
      <c r="D87" s="90"/>
      <c r="E87" s="90"/>
      <c r="F87" s="90"/>
      <c r="G87" s="90"/>
      <c r="H87" s="90"/>
      <c r="J87" s="114" t="s">
        <v>202</v>
      </c>
      <c r="K87" s="115">
        <f>'25. Current tariff method 24'!D20</f>
        <v>26.748239445263359</v>
      </c>
      <c r="L87" s="115"/>
      <c r="M87" s="115">
        <f t="shared" si="8"/>
        <v>2.6748239445263357E-2</v>
      </c>
      <c r="N87" s="116"/>
      <c r="O87" s="90"/>
    </row>
    <row r="88" spans="1:15" x14ac:dyDescent="0.25">
      <c r="A88" s="90"/>
      <c r="B88" s="90"/>
      <c r="C88" s="90"/>
      <c r="D88" s="90"/>
      <c r="E88" s="90"/>
      <c r="F88" s="90"/>
      <c r="G88" s="90"/>
      <c r="H88" s="90"/>
      <c r="J88" s="117" t="s">
        <v>262</v>
      </c>
      <c r="K88" s="118">
        <f>'25. Current tariff method 24'!F20</f>
        <v>20.512583652311342</v>
      </c>
      <c r="L88" s="118"/>
      <c r="M88" s="115">
        <f t="shared" si="8"/>
        <v>2.0512583652311341E-2</v>
      </c>
      <c r="N88" s="119"/>
      <c r="O88" s="90"/>
    </row>
    <row r="89" spans="1:15" x14ac:dyDescent="0.25">
      <c r="A89" s="90"/>
      <c r="B89" s="93"/>
      <c r="C89" s="93"/>
      <c r="D89" s="93"/>
      <c r="E89" s="93"/>
      <c r="F89" s="93"/>
      <c r="G89" s="93"/>
      <c r="H89" s="90"/>
      <c r="O89" s="90"/>
    </row>
    <row r="90" spans="1:15" x14ac:dyDescent="0.25">
      <c r="B90" s="68" t="s">
        <v>152</v>
      </c>
      <c r="J90" s="68" t="s">
        <v>153</v>
      </c>
    </row>
    <row r="91" spans="1:15" x14ac:dyDescent="0.25">
      <c r="B91" s="69" t="s">
        <v>154</v>
      </c>
      <c r="C91" s="69" t="s">
        <v>155</v>
      </c>
      <c r="D91" s="69" t="s">
        <v>156</v>
      </c>
      <c r="E91" s="69" t="s">
        <v>156</v>
      </c>
      <c r="F91" s="69" t="s">
        <v>155</v>
      </c>
      <c r="G91" s="69" t="s">
        <v>156</v>
      </c>
      <c r="J91" s="75" t="s">
        <v>157</v>
      </c>
      <c r="K91" s="75"/>
      <c r="L91" s="75"/>
    </row>
    <row r="92" spans="1:15" x14ac:dyDescent="0.25">
      <c r="B92" s="62"/>
      <c r="C92" s="62" t="s">
        <v>64</v>
      </c>
      <c r="D92" s="62" t="s">
        <v>68</v>
      </c>
      <c r="E92" s="62" t="s">
        <v>66</v>
      </c>
      <c r="F92" s="62" t="s">
        <v>96</v>
      </c>
      <c r="G92" s="62" t="s">
        <v>77</v>
      </c>
      <c r="J92" s="74"/>
      <c r="K92" s="69" t="s">
        <v>158</v>
      </c>
      <c r="L92" s="69" t="s">
        <v>159</v>
      </c>
    </row>
    <row r="93" spans="1:15" x14ac:dyDescent="0.25">
      <c r="B93" s="69" t="s">
        <v>160</v>
      </c>
      <c r="C93" s="62">
        <f>M20</f>
        <v>3516.6666666666665</v>
      </c>
      <c r="D93" s="62">
        <f>M18</f>
        <v>950</v>
      </c>
      <c r="E93" s="62">
        <f>M19</f>
        <v>1E-3</v>
      </c>
      <c r="F93" s="62">
        <f>M21</f>
        <v>4000</v>
      </c>
      <c r="G93" s="62">
        <f>M22</f>
        <v>10994.517589041096</v>
      </c>
      <c r="J93" s="76" t="s">
        <v>70</v>
      </c>
      <c r="K93" s="62">
        <f>(E37*K39+F37*K40)/SUM(K39,K40)</f>
        <v>140.93569844789357</v>
      </c>
      <c r="L93" s="62">
        <f>(C37*K37+D37*K38+G37*K41)/SUM(K37,K38,K41)</f>
        <v>235.58739756316055</v>
      </c>
    </row>
    <row r="94" spans="1:15" x14ac:dyDescent="0.25">
      <c r="B94" s="69" t="s">
        <v>161</v>
      </c>
      <c r="C94" s="62">
        <f>C93*C61</f>
        <v>661438.22343762789</v>
      </c>
      <c r="D94" s="62">
        <f>D93*C59</f>
        <v>163211.52520335958</v>
      </c>
      <c r="E94" s="62">
        <f>E93*C60</f>
        <v>0.27348669860785629</v>
      </c>
      <c r="F94" s="62">
        <f>F93*C62</f>
        <v>551595.67920878413</v>
      </c>
      <c r="G94" s="62">
        <f>G93*C63</f>
        <v>2579564.4328969303</v>
      </c>
      <c r="J94" s="76" t="s">
        <v>73</v>
      </c>
      <c r="K94" s="62">
        <f>(E38*L39+F38*L40)/SUM(L39,L40)</f>
        <v>84.135698447893574</v>
      </c>
      <c r="L94" s="62">
        <f>(C38*L37+D38*L38+G38*L41)/SUM(L37,L38,L41)</f>
        <v>178.78739756316054</v>
      </c>
    </row>
    <row r="95" spans="1:15" x14ac:dyDescent="0.25">
      <c r="J95" s="76" t="s">
        <v>68</v>
      </c>
      <c r="K95" s="62">
        <f>(E39*M39+F39*M40)/SUM(M39,M40)</f>
        <v>177.13569844789359</v>
      </c>
      <c r="L95" s="62">
        <f>(C39*M37+D39*M38+G39*M41)/SUM(M37,M38,M41)</f>
        <v>193.20001076900266</v>
      </c>
    </row>
    <row r="96" spans="1:15" x14ac:dyDescent="0.25">
      <c r="C96" s="62" t="s">
        <v>162</v>
      </c>
      <c r="J96" s="76" t="s">
        <v>96</v>
      </c>
      <c r="K96" s="62">
        <f>(E40*N39+F40*N40)/SUM(N39,N40)</f>
        <v>92.2</v>
      </c>
      <c r="L96" s="62">
        <f>(C40*N37+D40*N38+G40*N41)/SUM(N37,N38,N41)</f>
        <v>144.30921754437537</v>
      </c>
    </row>
    <row r="97" spans="2:12" x14ac:dyDescent="0.25">
      <c r="C97" s="62"/>
      <c r="J97" s="76" t="s">
        <v>79</v>
      </c>
      <c r="K97" s="62">
        <f>(E41*O39+F41*O40)/SUM(O39,O40)</f>
        <v>197.93569844789357</v>
      </c>
      <c r="L97" s="62">
        <f>(C41*O37+D41*O38+G41*O41)/SUM(O37,O38,O41)</f>
        <v>292.58739756316055</v>
      </c>
    </row>
    <row r="98" spans="2:12" x14ac:dyDescent="0.25">
      <c r="C98" s="62"/>
      <c r="J98" s="76" t="s">
        <v>77</v>
      </c>
      <c r="K98" s="62">
        <f>(E42*P39+F42*P40)/SUM(P39,P40)</f>
        <v>102.06430155210643</v>
      </c>
      <c r="L98" s="62">
        <f>(C42*P37+D42*P38+G42*P41)/SUM(P37,P38,P41)</f>
        <v>286.19982336860699</v>
      </c>
    </row>
    <row r="99" spans="2:12" x14ac:dyDescent="0.25">
      <c r="B99" s="68" t="s">
        <v>163</v>
      </c>
      <c r="J99" s="68" t="s">
        <v>164</v>
      </c>
      <c r="K99" s="62"/>
      <c r="L99" s="62"/>
    </row>
    <row r="100" spans="2:12" ht="45.75" x14ac:dyDescent="0.25">
      <c r="C100" s="76" t="s">
        <v>165</v>
      </c>
      <c r="D100" s="76" t="s">
        <v>166</v>
      </c>
      <c r="E100" s="76" t="s">
        <v>167</v>
      </c>
      <c r="F100" s="76" t="s">
        <v>168</v>
      </c>
      <c r="G100" s="76" t="s">
        <v>169</v>
      </c>
      <c r="J100" s="76" t="s">
        <v>170</v>
      </c>
      <c r="K100" s="62">
        <f>SUMPRODUCT(C101:C106,J60:J65)</f>
        <v>173.99543606563958</v>
      </c>
      <c r="L100" s="62"/>
    </row>
    <row r="101" spans="2:12" ht="23.25" x14ac:dyDescent="0.25">
      <c r="B101" s="76" t="s">
        <v>70</v>
      </c>
      <c r="C101" s="62">
        <f t="shared" ref="C101:C106" si="9">SUM($D$93,$E$93,$G$93)/SUM($E$18:$E$23)*E18</f>
        <v>1247.6610907488509</v>
      </c>
      <c r="D101" s="62" t="s">
        <v>171</v>
      </c>
      <c r="E101" s="62">
        <f t="shared" ref="E101:E106" si="10">E18-C101</f>
        <v>1152.3389092511491</v>
      </c>
      <c r="F101" s="62">
        <f>C101*L93</f>
        <v>293933.22941033606</v>
      </c>
      <c r="G101" s="62">
        <f>E101*K93</f>
        <v>162405.68902399455</v>
      </c>
      <c r="J101" s="76" t="s">
        <v>172</v>
      </c>
      <c r="K101" s="62">
        <f>K67-K100</f>
        <v>160.70206284161293</v>
      </c>
      <c r="L101" s="62"/>
    </row>
    <row r="102" spans="2:12" ht="23.25" x14ac:dyDescent="0.25">
      <c r="B102" s="76" t="s">
        <v>73</v>
      </c>
      <c r="C102" s="62">
        <f t="shared" si="9"/>
        <v>444.4792635792781</v>
      </c>
      <c r="D102" s="62" t="s">
        <v>171</v>
      </c>
      <c r="E102" s="62">
        <f t="shared" si="10"/>
        <v>410.52073642072179</v>
      </c>
      <c r="F102" s="62">
        <f t="shared" ref="F102:F106" si="11">C102*L94</f>
        <v>79467.290806129211</v>
      </c>
      <c r="G102" s="62">
        <f t="shared" ref="G102:G106" si="12">E102*K94</f>
        <v>34539.448886101047</v>
      </c>
      <c r="J102" s="76" t="s">
        <v>173</v>
      </c>
      <c r="K102" s="62">
        <f>D93*J73+E93*J74+G93*J77</f>
        <v>245.01294297994909</v>
      </c>
      <c r="L102" s="62"/>
    </row>
    <row r="103" spans="2:12" ht="23.25" x14ac:dyDescent="0.25">
      <c r="B103" s="76" t="s">
        <v>68</v>
      </c>
      <c r="C103" s="62">
        <f t="shared" si="9"/>
        <v>897.7701336119701</v>
      </c>
      <c r="D103" s="62" t="s">
        <v>171</v>
      </c>
      <c r="E103" s="62">
        <f t="shared" si="10"/>
        <v>829.17986638802995</v>
      </c>
      <c r="F103" s="62">
        <f t="shared" si="11"/>
        <v>173449.19948192159</v>
      </c>
      <c r="G103" s="62">
        <f t="shared" si="12"/>
        <v>146877.35477157476</v>
      </c>
      <c r="J103" s="76" t="s">
        <v>174</v>
      </c>
      <c r="K103" s="62">
        <f>K79-K102</f>
        <v>94.064642049176172</v>
      </c>
      <c r="L103" s="62"/>
    </row>
    <row r="104" spans="2:12" x14ac:dyDescent="0.25">
      <c r="B104" s="76" t="s">
        <v>96</v>
      </c>
      <c r="C104" s="62">
        <f t="shared" si="9"/>
        <v>3639.0115146841486</v>
      </c>
      <c r="D104" s="62" t="s">
        <v>171</v>
      </c>
      <c r="E104" s="62">
        <f t="shared" si="10"/>
        <v>3360.9884853158514</v>
      </c>
      <c r="F104" s="62">
        <f t="shared" si="11"/>
        <v>525142.90431904176</v>
      </c>
      <c r="G104" s="62">
        <f t="shared" si="12"/>
        <v>309883.13834612153</v>
      </c>
      <c r="H104" s="69"/>
      <c r="J104" s="76" t="s">
        <v>175</v>
      </c>
      <c r="K104" s="62">
        <f>K101+K103</f>
        <v>254.7667048907891</v>
      </c>
      <c r="L104" s="62"/>
    </row>
    <row r="105" spans="2:12" x14ac:dyDescent="0.25">
      <c r="B105" s="76" t="s">
        <v>79</v>
      </c>
      <c r="C105" s="62">
        <f t="shared" si="9"/>
        <v>5715.5965864168502</v>
      </c>
      <c r="D105" s="62" t="s">
        <v>171</v>
      </c>
      <c r="E105" s="62">
        <f t="shared" si="10"/>
        <v>5278.9210026242454</v>
      </c>
      <c r="F105" s="62">
        <f t="shared" si="11"/>
        <v>1672311.5307405903</v>
      </c>
      <c r="G105" s="62">
        <f t="shared" si="12"/>
        <v>1044886.9157056846</v>
      </c>
      <c r="H105" s="69"/>
      <c r="J105" s="76" t="s">
        <v>176</v>
      </c>
      <c r="K105" s="62">
        <f>K100+K102</f>
        <v>419.00837904558864</v>
      </c>
      <c r="L105" s="62"/>
    </row>
    <row r="106" spans="2:12" x14ac:dyDescent="0.25">
      <c r="B106" s="76" t="s">
        <v>77</v>
      </c>
      <c r="C106" s="62">
        <f t="shared" si="9"/>
        <v>0</v>
      </c>
      <c r="D106" s="62" t="s">
        <v>171</v>
      </c>
      <c r="E106" s="62">
        <f t="shared" si="10"/>
        <v>0</v>
      </c>
      <c r="F106" s="62">
        <f t="shared" si="11"/>
        <v>0</v>
      </c>
      <c r="G106" s="62">
        <f t="shared" si="12"/>
        <v>0</v>
      </c>
      <c r="H106" s="69"/>
      <c r="J106" s="76"/>
      <c r="K106" s="62"/>
      <c r="L106" s="62"/>
    </row>
    <row r="107" spans="2:12" x14ac:dyDescent="0.25">
      <c r="B107" s="76"/>
      <c r="C107" s="62"/>
      <c r="D107" s="62"/>
      <c r="E107" s="62"/>
      <c r="F107" s="62"/>
      <c r="G107" s="62"/>
      <c r="L107" s="62"/>
    </row>
    <row r="108" spans="2:12" x14ac:dyDescent="0.25">
      <c r="B108" s="76" t="s">
        <v>177</v>
      </c>
      <c r="C108" s="62">
        <f>SUM(C101:C106)</f>
        <v>11944.518589041098</v>
      </c>
      <c r="D108" s="62"/>
      <c r="E108" s="62">
        <f>SUM(E101:E106)</f>
        <v>11031.948999999997</v>
      </c>
      <c r="F108" s="62">
        <f>SUM(F101:F106)</f>
        <v>2744304.1547580189</v>
      </c>
      <c r="G108" s="62">
        <f>SUM(G101:G106)</f>
        <v>1698592.5467334765</v>
      </c>
    </row>
    <row r="109" spans="2:12" x14ac:dyDescent="0.25">
      <c r="B109" s="76"/>
      <c r="C109" s="62"/>
      <c r="D109" s="62"/>
      <c r="E109" s="62"/>
      <c r="F109" s="62"/>
      <c r="G109" s="62"/>
    </row>
    <row r="110" spans="2:12" ht="23.25" x14ac:dyDescent="0.25">
      <c r="B110" s="76" t="s">
        <v>178</v>
      </c>
      <c r="C110" s="62">
        <f>SUM(D93,E93,G93)</f>
        <v>11944.518589041096</v>
      </c>
      <c r="D110" s="62"/>
      <c r="E110" s="62"/>
      <c r="F110" s="62"/>
      <c r="G110" s="62"/>
    </row>
    <row r="111" spans="2:12" x14ac:dyDescent="0.25">
      <c r="B111" s="76"/>
    </row>
    <row r="112" spans="2:12" x14ac:dyDescent="0.25">
      <c r="B112" s="76"/>
    </row>
    <row r="113" spans="2:12" x14ac:dyDescent="0.25">
      <c r="B113" s="68" t="s">
        <v>179</v>
      </c>
      <c r="J113" s="68" t="s">
        <v>180</v>
      </c>
    </row>
    <row r="114" spans="2:12" ht="34.5" x14ac:dyDescent="0.25">
      <c r="B114" s="76" t="s">
        <v>169</v>
      </c>
      <c r="C114" s="78"/>
      <c r="D114" s="62">
        <f>G108</f>
        <v>1698592.5467334765</v>
      </c>
      <c r="E114" s="62"/>
      <c r="J114" s="79" t="s">
        <v>181</v>
      </c>
      <c r="K114" s="80"/>
      <c r="L114" s="81"/>
    </row>
    <row r="115" spans="2:12" ht="34.5" x14ac:dyDescent="0.25">
      <c r="B115" s="76" t="s">
        <v>182</v>
      </c>
      <c r="C115" s="78"/>
      <c r="D115" s="62">
        <f>C94+F94</f>
        <v>1213033.9026464121</v>
      </c>
      <c r="E115" s="62"/>
      <c r="J115" s="82" t="s">
        <v>183</v>
      </c>
      <c r="K115" s="83">
        <f>K104*10^6/D116</f>
        <v>87.499790690886442</v>
      </c>
      <c r="L115" s="84" t="s">
        <v>184</v>
      </c>
    </row>
    <row r="116" spans="2:12" ht="23.25" x14ac:dyDescent="0.25">
      <c r="B116" s="76" t="s">
        <v>185</v>
      </c>
      <c r="C116" s="78"/>
      <c r="D116" s="62">
        <f>SUM(D114:D115)</f>
        <v>2911626.4493798884</v>
      </c>
      <c r="E116" s="62"/>
      <c r="J116" s="82" t="s">
        <v>186</v>
      </c>
      <c r="K116" s="83">
        <f>K105*10^6/D119</f>
        <v>76.362719250171907</v>
      </c>
      <c r="L116" s="84" t="s">
        <v>187</v>
      </c>
    </row>
    <row r="117" spans="2:12" ht="34.5" x14ac:dyDescent="0.25">
      <c r="B117" s="76" t="s">
        <v>188</v>
      </c>
      <c r="C117" s="78"/>
      <c r="D117" s="62">
        <f>F108</f>
        <v>2744304.1547580189</v>
      </c>
      <c r="E117" s="62"/>
      <c r="J117" s="82" t="s">
        <v>189</v>
      </c>
      <c r="K117" s="85">
        <f>2*(ABS(K115-K116))/(K115+K116)</f>
        <v>0.1359319034563862</v>
      </c>
      <c r="L117" s="84" t="s">
        <v>190</v>
      </c>
    </row>
    <row r="118" spans="2:12" ht="34.5" x14ac:dyDescent="0.25">
      <c r="B118" s="76" t="s">
        <v>191</v>
      </c>
      <c r="C118" s="78"/>
      <c r="D118" s="62">
        <f>SUM(D94,E94,G94)</f>
        <v>2742776.2315869885</v>
      </c>
      <c r="E118" s="62"/>
    </row>
    <row r="119" spans="2:12" ht="34.5" x14ac:dyDescent="0.25">
      <c r="B119" s="76" t="s">
        <v>192</v>
      </c>
      <c r="C119" s="78"/>
      <c r="D119" s="62">
        <f>SUM(D117:D118)</f>
        <v>5487080.3863450075</v>
      </c>
      <c r="E119" s="62"/>
    </row>
    <row r="120" spans="2:12" x14ac:dyDescent="0.25">
      <c r="D120" s="62"/>
      <c r="E120" s="62"/>
    </row>
    <row r="121" spans="2:12" x14ac:dyDescent="0.25">
      <c r="D121" s="62"/>
      <c r="E121" s="62"/>
    </row>
    <row r="126" spans="2:12" x14ac:dyDescent="0.25">
      <c r="E126" s="62"/>
    </row>
  </sheetData>
  <conditionalFormatting sqref="K117">
    <cfRule type="cellIs" dxfId="11" priority="1" operator="lessThan">
      <formula>0.1</formula>
    </cfRule>
    <cfRule type="cellIs" dxfId="10" priority="2" operator="greaterThan">
      <formula>0.1</formula>
    </cfRule>
  </conditionalFormatting>
  <dataValidations count="1">
    <dataValidation type="list" allowBlank="1" showInputMessage="1" showErrorMessage="1" sqref="F12" xr:uid="{00000000-0002-0000-1F00-000000000000}">
      <formula1>"Nybro (P1),New entry point (BP1)"</formula1>
    </dataValidation>
  </dataValidations>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FF0000"/>
  </sheetPr>
  <dimension ref="A1:R113"/>
  <sheetViews>
    <sheetView topLeftCell="A76" zoomScale="90" zoomScaleNormal="90" workbookViewId="0">
      <selection activeCell="A25" sqref="A25"/>
    </sheetView>
  </sheetViews>
  <sheetFormatPr defaultColWidth="9.140625" defaultRowHeight="15" x14ac:dyDescent="0.25"/>
  <cols>
    <col min="1" max="1" width="9.140625" style="53"/>
    <col min="2" max="2" width="19.42578125" style="53" customWidth="1"/>
    <col min="3" max="3" width="10.42578125" style="53" bestFit="1" customWidth="1"/>
    <col min="4" max="4" width="14.5703125" style="53" customWidth="1"/>
    <col min="5" max="5" width="13.42578125" style="53" customWidth="1"/>
    <col min="6" max="6" width="20.85546875" style="53" bestFit="1" customWidth="1"/>
    <col min="7" max="7" width="12.42578125" style="53" customWidth="1"/>
    <col min="8" max="9" width="9.140625" style="53"/>
    <col min="10" max="10" width="17.85546875" style="53" customWidth="1"/>
    <col min="11" max="12" width="11" style="53" bestFit="1" customWidth="1"/>
    <col min="13" max="13" width="11.42578125" style="53" customWidth="1"/>
    <col min="14" max="14" width="9.140625" style="53" customWidth="1"/>
    <col min="15" max="15" width="11" style="53" bestFit="1" customWidth="1"/>
    <col min="16" max="16" width="10.42578125" style="53" bestFit="1" customWidth="1"/>
    <col min="17"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2" t="s">
        <v>205</v>
      </c>
      <c r="F17" s="61"/>
      <c r="G17" s="60"/>
      <c r="H17" s="60"/>
      <c r="I17" s="60"/>
      <c r="J17" s="59" t="s">
        <v>8</v>
      </c>
      <c r="K17" s="61" t="s">
        <v>92</v>
      </c>
      <c r="L17" s="61" t="s">
        <v>93</v>
      </c>
      <c r="M17" s="62" t="s">
        <v>205</v>
      </c>
      <c r="N17" s="61"/>
      <c r="R17" s="62"/>
    </row>
    <row r="18" spans="1:18" x14ac:dyDescent="0.25">
      <c r="A18" s="63" t="s">
        <v>95</v>
      </c>
      <c r="B18" s="61" t="s">
        <v>70</v>
      </c>
      <c r="C18" s="61">
        <v>0</v>
      </c>
      <c r="D18" s="61">
        <v>93</v>
      </c>
      <c r="E18" s="62">
        <f>'Forecasted Capacities'!N3</f>
        <v>20231.417114125707</v>
      </c>
      <c r="F18" s="61"/>
      <c r="G18" s="60"/>
      <c r="H18" s="60"/>
      <c r="I18" s="60"/>
      <c r="J18" s="61" t="s">
        <v>68</v>
      </c>
      <c r="K18" s="61">
        <v>56.8</v>
      </c>
      <c r="L18" s="61">
        <v>0</v>
      </c>
      <c r="M18" s="61">
        <f>'Forecasted Capacities'!F5</f>
        <v>1210.3652733292447</v>
      </c>
      <c r="N18" s="64"/>
      <c r="R18" s="62"/>
    </row>
    <row r="19" spans="1:18" x14ac:dyDescent="0.25">
      <c r="B19" s="61" t="s">
        <v>73</v>
      </c>
      <c r="C19" s="61">
        <v>56.8</v>
      </c>
      <c r="D19" s="61">
        <v>93</v>
      </c>
      <c r="E19" s="62">
        <f>'Forecasted Capacities'!N5</f>
        <v>6168</v>
      </c>
      <c r="F19" s="61"/>
      <c r="G19" s="60"/>
      <c r="H19" s="60"/>
      <c r="I19" s="60"/>
      <c r="J19" s="61" t="s">
        <v>66</v>
      </c>
      <c r="K19" s="61">
        <v>275.39999999999998</v>
      </c>
      <c r="L19" s="61">
        <v>93</v>
      </c>
      <c r="M19" s="61">
        <f>'Forecasted Capacities'!F4</f>
        <v>1</v>
      </c>
      <c r="N19" s="61"/>
      <c r="R19" s="62"/>
    </row>
    <row r="20" spans="1:18" x14ac:dyDescent="0.25">
      <c r="B20" s="61" t="s">
        <v>68</v>
      </c>
      <c r="C20" s="61">
        <v>56.8</v>
      </c>
      <c r="D20" s="61">
        <v>0</v>
      </c>
      <c r="E20" s="62">
        <f>'Forecasted Capacities'!N4</f>
        <v>12783.045786471119</v>
      </c>
      <c r="F20" s="61"/>
      <c r="G20" s="60"/>
      <c r="H20" s="60"/>
      <c r="I20" s="60"/>
      <c r="J20" s="61" t="s">
        <v>64</v>
      </c>
      <c r="K20" s="61">
        <v>190</v>
      </c>
      <c r="L20" s="61">
        <v>93</v>
      </c>
      <c r="M20" s="61">
        <f>'Forecasted Capacities'!F3</f>
        <v>32617.53715664415</v>
      </c>
      <c r="N20" s="61"/>
      <c r="R20" s="62"/>
    </row>
    <row r="21" spans="1:18" x14ac:dyDescent="0.25">
      <c r="B21" s="61" t="s">
        <v>96</v>
      </c>
      <c r="C21" s="61">
        <v>97.8</v>
      </c>
      <c r="D21" s="61">
        <v>93</v>
      </c>
      <c r="E21" s="62">
        <f>'Forecasted Capacities'!N6</f>
        <v>6000</v>
      </c>
      <c r="F21" s="61"/>
      <c r="G21" s="60"/>
      <c r="H21" s="60"/>
      <c r="I21" s="60"/>
      <c r="J21" s="61" t="s">
        <v>96</v>
      </c>
      <c r="K21" s="61">
        <v>97.8</v>
      </c>
      <c r="L21" s="61">
        <v>93</v>
      </c>
      <c r="M21" s="61">
        <f>'Forecasted Capacities'!F6</f>
        <v>6000</v>
      </c>
      <c r="N21" s="61"/>
      <c r="R21" s="62"/>
    </row>
    <row r="22" spans="1:18" x14ac:dyDescent="0.25">
      <c r="B22" s="61" t="s">
        <v>79</v>
      </c>
      <c r="C22" s="233">
        <v>0</v>
      </c>
      <c r="D22" s="233">
        <v>150</v>
      </c>
      <c r="E22" s="61">
        <f>'Forecasted Capacities'!N7</f>
        <v>86101.421472000002</v>
      </c>
      <c r="F22" s="60"/>
      <c r="G22" s="60"/>
      <c r="H22" s="60"/>
      <c r="I22" s="60"/>
      <c r="J22" s="61" t="s">
        <v>77</v>
      </c>
      <c r="K22" s="233">
        <v>200</v>
      </c>
      <c r="L22" s="233">
        <v>50</v>
      </c>
      <c r="M22" s="61">
        <f>'Forecasted Capacities'!F7</f>
        <v>86101.421472000002</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131283.88437259683</v>
      </c>
      <c r="F24" s="60"/>
      <c r="G24" s="60"/>
      <c r="H24" s="60"/>
      <c r="I24" s="60"/>
      <c r="J24" s="60"/>
      <c r="K24" s="60"/>
      <c r="L24" s="60"/>
      <c r="M24" s="65">
        <f>SUM(M18:M22)</f>
        <v>125930.3239019734</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'25. Current tariff method 24'!B13+'25. Current tariff method 24'!B14</f>
        <v>962.53583419482538</v>
      </c>
      <c r="F26" s="60"/>
      <c r="G26" s="60"/>
      <c r="H26" s="60"/>
      <c r="I26" s="60"/>
      <c r="J26" s="60"/>
      <c r="K26" s="60"/>
      <c r="L26" s="60"/>
      <c r="M26" s="60"/>
      <c r="N26" s="60"/>
    </row>
    <row r="27" spans="1:18" x14ac:dyDescent="0.25">
      <c r="A27" s="63" t="s">
        <v>99</v>
      </c>
      <c r="B27" s="60"/>
      <c r="C27" s="61" t="s">
        <v>105</v>
      </c>
      <c r="D27" s="60"/>
      <c r="E27" s="61">
        <f>'25. Current tariff method 24'!B13</f>
        <v>288.76075025844767</v>
      </c>
      <c r="F27" s="60"/>
      <c r="G27" s="60"/>
      <c r="H27" s="60"/>
      <c r="I27" s="60"/>
      <c r="J27" s="60"/>
      <c r="K27" s="60"/>
      <c r="L27" s="60"/>
      <c r="M27" s="60"/>
      <c r="N27" s="60"/>
    </row>
    <row r="28" spans="1:18" x14ac:dyDescent="0.25">
      <c r="A28" s="63" t="s">
        <v>101</v>
      </c>
      <c r="B28" s="60"/>
      <c r="C28" s="61" t="s">
        <v>102</v>
      </c>
      <c r="D28" s="60"/>
      <c r="E28" s="61">
        <v>0</v>
      </c>
      <c r="F28" s="60"/>
      <c r="G28" s="60"/>
      <c r="H28" s="60"/>
      <c r="I28" s="60"/>
      <c r="J28" s="60"/>
      <c r="K28" s="60"/>
      <c r="L28" s="60"/>
      <c r="M28" s="60"/>
      <c r="N28" s="60"/>
    </row>
    <row r="29" spans="1:18" x14ac:dyDescent="0.25">
      <c r="A29" s="63" t="s">
        <v>101</v>
      </c>
      <c r="B29" s="60"/>
      <c r="C29" s="61" t="s">
        <v>207</v>
      </c>
      <c r="D29" s="60"/>
      <c r="E29" s="61">
        <f>E27*E28</f>
        <v>0</v>
      </c>
      <c r="F29" s="60"/>
      <c r="G29" s="60"/>
      <c r="H29" s="60"/>
      <c r="I29" s="60"/>
      <c r="J29" s="60"/>
      <c r="K29" s="60"/>
      <c r="L29" s="60"/>
      <c r="N29" s="60"/>
    </row>
    <row r="30" spans="1:18" x14ac:dyDescent="0.25">
      <c r="B30" s="60"/>
      <c r="C30" s="61" t="s">
        <v>208</v>
      </c>
      <c r="D30" s="60"/>
      <c r="E30" s="61">
        <f>E27-E29</f>
        <v>288.76075025844767</v>
      </c>
      <c r="F30" s="60"/>
      <c r="G30" s="60"/>
      <c r="H30" s="60"/>
      <c r="I30" s="60"/>
      <c r="J30" s="60"/>
      <c r="K30" s="60"/>
      <c r="L30" s="60"/>
      <c r="M30" s="60"/>
      <c r="N30" s="60"/>
    </row>
    <row r="31" spans="1:18" x14ac:dyDescent="0.25">
      <c r="B31" s="60"/>
      <c r="C31" s="61"/>
      <c r="D31" s="60"/>
      <c r="E31" s="61"/>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 t="shared" ref="K37:L41" si="0">$M18</f>
        <v>1210.3652733292447</v>
      </c>
      <c r="L37" s="62">
        <f t="shared" si="0"/>
        <v>1210.3652733292447</v>
      </c>
      <c r="M37" s="62">
        <v>0</v>
      </c>
      <c r="N37" s="62">
        <f>$M18</f>
        <v>1210.3652733292447</v>
      </c>
      <c r="O37" s="62">
        <f t="shared" ref="O37:P41" si="1">$M18</f>
        <v>1210.3652733292447</v>
      </c>
      <c r="P37" s="62">
        <f t="shared" si="1"/>
        <v>1210.3652733292447</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v>
      </c>
      <c r="L38" s="62">
        <f t="shared" si="0"/>
        <v>1</v>
      </c>
      <c r="M38" s="62">
        <f>$M19</f>
        <v>1</v>
      </c>
      <c r="N38" s="62">
        <f>$M19</f>
        <v>1</v>
      </c>
      <c r="O38" s="62">
        <f t="shared" si="1"/>
        <v>1</v>
      </c>
      <c r="P38" s="62">
        <f t="shared" si="1"/>
        <v>1</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32617.53715664415</v>
      </c>
      <c r="L39" s="62">
        <f t="shared" si="0"/>
        <v>32617.53715664415</v>
      </c>
      <c r="M39" s="62">
        <f>$M20</f>
        <v>32617.53715664415</v>
      </c>
      <c r="N39" s="62">
        <f>$M20</f>
        <v>32617.53715664415</v>
      </c>
      <c r="O39" s="62">
        <f t="shared" si="1"/>
        <v>32617.53715664415</v>
      </c>
      <c r="P39" s="62">
        <f t="shared" si="1"/>
        <v>32617.53715664415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6000</v>
      </c>
      <c r="L40" s="62">
        <f t="shared" si="0"/>
        <v>6000</v>
      </c>
      <c r="M40" s="62">
        <f>$M21</f>
        <v>6000</v>
      </c>
      <c r="N40" s="62">
        <v>0</v>
      </c>
      <c r="O40" s="62">
        <f t="shared" si="1"/>
        <v>6000</v>
      </c>
      <c r="P40" s="62">
        <f t="shared" si="1"/>
        <v>6000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86101.421472000002</v>
      </c>
      <c r="L41" s="62">
        <f t="shared" si="0"/>
        <v>86101.421472000002</v>
      </c>
      <c r="M41" s="62">
        <f>$M22</f>
        <v>86101.421472000002</v>
      </c>
      <c r="N41" s="62">
        <f>$M22</f>
        <v>86101.421472000002</v>
      </c>
      <c r="O41" s="62">
        <f t="shared" si="1"/>
        <v>86101.421472000002</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125930.3239019734</v>
      </c>
      <c r="L43" s="70">
        <f t="shared" ref="L43:P43" si="2">SUM(L37:L41)</f>
        <v>125930.3239019734</v>
      </c>
      <c r="M43" s="70">
        <f t="shared" si="2"/>
        <v>124719.95862864415</v>
      </c>
      <c r="N43" s="70">
        <f t="shared" si="2"/>
        <v>119930.3239019734</v>
      </c>
      <c r="O43" s="70">
        <f>SUM(O37:O41)</f>
        <v>125930.3239019734</v>
      </c>
      <c r="P43" s="70">
        <f t="shared" si="2"/>
        <v>39828.902429973394</v>
      </c>
    </row>
    <row r="45" spans="1:16" x14ac:dyDescent="0.25">
      <c r="B45" s="68" t="s">
        <v>110</v>
      </c>
      <c r="C45" s="68"/>
      <c r="D45" s="68"/>
      <c r="E45" s="68" t="s">
        <v>111</v>
      </c>
      <c r="F45" s="68"/>
      <c r="G45" s="68"/>
      <c r="H45" s="68"/>
      <c r="I45" s="68"/>
      <c r="J45" s="68" t="s">
        <v>113</v>
      </c>
      <c r="K45" s="68"/>
    </row>
    <row r="46" spans="1:16" x14ac:dyDescent="0.25">
      <c r="A46" s="63" t="s">
        <v>114</v>
      </c>
      <c r="B46" s="62"/>
      <c r="C46" s="69" t="s">
        <v>115</v>
      </c>
      <c r="D46" s="69"/>
      <c r="E46" s="69" t="s">
        <v>116</v>
      </c>
      <c r="F46" s="62"/>
      <c r="G46" s="62"/>
      <c r="H46" s="69"/>
      <c r="I46" s="62"/>
      <c r="J46" s="69" t="s">
        <v>118</v>
      </c>
      <c r="K46" s="69" t="s">
        <v>8</v>
      </c>
    </row>
    <row r="47" spans="1:16" x14ac:dyDescent="0.25">
      <c r="B47" s="62" t="s">
        <v>70</v>
      </c>
      <c r="C47" s="62">
        <f>MMULT(C37:G37,K37:K41)/K43</f>
        <v>221.45869820133197</v>
      </c>
      <c r="D47" s="62"/>
      <c r="E47" s="62">
        <f>SUMPRODUCT(C47:C52,E18:E23)</f>
        <v>32799377.679792095</v>
      </c>
      <c r="F47" s="62"/>
      <c r="G47" s="62"/>
      <c r="H47" s="62"/>
      <c r="I47" s="62"/>
      <c r="J47" s="69" t="s">
        <v>26</v>
      </c>
      <c r="K47" s="62" t="s">
        <v>68</v>
      </c>
      <c r="L47" s="62" t="s">
        <v>66</v>
      </c>
      <c r="M47" s="62" t="s">
        <v>64</v>
      </c>
      <c r="N47" s="62" t="s">
        <v>96</v>
      </c>
      <c r="O47" s="62" t="s">
        <v>77</v>
      </c>
    </row>
    <row r="48" spans="1:16" x14ac:dyDescent="0.25">
      <c r="B48" s="62" t="s">
        <v>73</v>
      </c>
      <c r="C48" s="62">
        <f>MMULT(C38:G38,L37:L41)/L43</f>
        <v>164.65869820133196</v>
      </c>
      <c r="D48" s="62"/>
      <c r="E48" s="62"/>
      <c r="F48" s="62"/>
      <c r="G48" s="62"/>
      <c r="H48" s="62"/>
      <c r="I48" s="62"/>
      <c r="J48" s="62" t="s">
        <v>70</v>
      </c>
      <c r="K48" s="62">
        <f t="shared" ref="K48:O49" si="3">$E18</f>
        <v>20231.417114125707</v>
      </c>
      <c r="L48" s="62">
        <f t="shared" si="3"/>
        <v>20231.417114125707</v>
      </c>
      <c r="M48" s="62">
        <f t="shared" si="3"/>
        <v>20231.417114125707</v>
      </c>
      <c r="N48" s="62">
        <f t="shared" si="3"/>
        <v>20231.417114125707</v>
      </c>
      <c r="O48" s="62">
        <f t="shared" si="3"/>
        <v>20231.417114125707</v>
      </c>
    </row>
    <row r="49" spans="2:15" x14ac:dyDescent="0.25">
      <c r="B49" s="62" t="s">
        <v>68</v>
      </c>
      <c r="C49" s="62">
        <f>MMULT(C39:G39,M37:M41)/M43</f>
        <v>198.98333359071208</v>
      </c>
      <c r="D49" s="62"/>
      <c r="E49" s="62"/>
      <c r="F49" s="62"/>
      <c r="G49" s="62"/>
      <c r="H49" s="62"/>
      <c r="I49" s="62"/>
      <c r="J49" s="62" t="s">
        <v>73</v>
      </c>
      <c r="K49" s="62">
        <f t="shared" si="3"/>
        <v>6168</v>
      </c>
      <c r="L49" s="62">
        <f t="shared" si="3"/>
        <v>6168</v>
      </c>
      <c r="M49" s="62">
        <f t="shared" si="3"/>
        <v>6168</v>
      </c>
      <c r="N49" s="62">
        <f t="shared" si="3"/>
        <v>6168</v>
      </c>
      <c r="O49" s="62">
        <f t="shared" si="3"/>
        <v>6168</v>
      </c>
    </row>
    <row r="50" spans="2:15" x14ac:dyDescent="0.25">
      <c r="B50" s="62" t="s">
        <v>96</v>
      </c>
      <c r="C50" s="62">
        <f>MMULT(C40:G40,N37:N41)/N43</f>
        <v>130.67278866863163</v>
      </c>
      <c r="D50" s="62"/>
      <c r="E50" s="62"/>
      <c r="F50" s="62"/>
      <c r="G50" s="62"/>
      <c r="H50" s="62"/>
      <c r="I50" s="62"/>
      <c r="J50" s="62" t="s">
        <v>68</v>
      </c>
      <c r="K50" s="62">
        <v>0</v>
      </c>
      <c r="L50" s="62">
        <f>$E20</f>
        <v>12783.045786471119</v>
      </c>
      <c r="M50" s="62">
        <f>$E20</f>
        <v>12783.045786471119</v>
      </c>
      <c r="N50" s="62">
        <f>$E20</f>
        <v>12783.045786471119</v>
      </c>
      <c r="O50" s="62">
        <f>$E20</f>
        <v>12783.045786471119</v>
      </c>
    </row>
    <row r="51" spans="2:15" x14ac:dyDescent="0.25">
      <c r="B51" s="62" t="s">
        <v>79</v>
      </c>
      <c r="C51" s="62">
        <f>MMULT(C41:G41,O37:O41)/O43</f>
        <v>278.45869820133197</v>
      </c>
      <c r="H51" s="62"/>
      <c r="J51" s="62" t="s">
        <v>96</v>
      </c>
      <c r="K51" s="62">
        <f>$E21</f>
        <v>6000</v>
      </c>
      <c r="L51" s="62">
        <f>$E21</f>
        <v>6000</v>
      </c>
      <c r="M51" s="62">
        <f>$E21</f>
        <v>6000</v>
      </c>
      <c r="N51" s="62">
        <v>0</v>
      </c>
      <c r="O51" s="62">
        <f>$E21</f>
        <v>6000</v>
      </c>
    </row>
    <row r="52" spans="2:15" x14ac:dyDescent="0.25">
      <c r="B52" s="62" t="s">
        <v>77</v>
      </c>
      <c r="C52" s="62">
        <f>MMULT(C42:G42,P37:P41)/P43</f>
        <v>73.97779579061671</v>
      </c>
      <c r="H52" s="62"/>
      <c r="J52" s="62" t="s">
        <v>79</v>
      </c>
      <c r="K52" s="62">
        <f>$E22</f>
        <v>86101.421472000002</v>
      </c>
      <c r="L52" s="62">
        <f t="shared" ref="L52:O53" si="4">$E22</f>
        <v>86101.421472000002</v>
      </c>
      <c r="M52" s="62">
        <f t="shared" si="4"/>
        <v>86101.421472000002</v>
      </c>
      <c r="N52" s="62">
        <f t="shared" si="4"/>
        <v>86101.421472000002</v>
      </c>
      <c r="O52" s="62">
        <f t="shared" si="4"/>
        <v>86101.421472000002</v>
      </c>
    </row>
    <row r="53" spans="2:15" x14ac:dyDescent="0.25">
      <c r="C53" s="62"/>
      <c r="H53" s="62"/>
      <c r="J53" s="62" t="s">
        <v>77</v>
      </c>
      <c r="K53" s="62">
        <f>$E23</f>
        <v>0</v>
      </c>
      <c r="L53" s="62">
        <f t="shared" si="4"/>
        <v>0</v>
      </c>
      <c r="M53" s="62">
        <f t="shared" si="4"/>
        <v>0</v>
      </c>
      <c r="N53" s="62">
        <f t="shared" si="4"/>
        <v>0</v>
      </c>
      <c r="O53" s="62">
        <v>0</v>
      </c>
    </row>
    <row r="54" spans="2:15" x14ac:dyDescent="0.25">
      <c r="C54" s="62"/>
      <c r="H54" s="62"/>
      <c r="J54" s="62"/>
      <c r="K54" s="62"/>
      <c r="L54" s="62"/>
      <c r="M54" s="62"/>
      <c r="N54" s="62"/>
    </row>
    <row r="55" spans="2:15" x14ac:dyDescent="0.25">
      <c r="J55" s="70" t="s">
        <v>14</v>
      </c>
      <c r="K55" s="70">
        <f>SUM(K48:K53)</f>
        <v>118500.83858612571</v>
      </c>
      <c r="L55" s="70">
        <f t="shared" ref="L55:O55" si="5">SUM(L48:L53)</f>
        <v>131283.88437259683</v>
      </c>
      <c r="M55" s="70">
        <f t="shared" si="5"/>
        <v>131283.88437259683</v>
      </c>
      <c r="N55" s="70">
        <f t="shared" si="5"/>
        <v>125283.88437259683</v>
      </c>
      <c r="O55" s="70">
        <f t="shared" si="5"/>
        <v>131283.88437259683</v>
      </c>
    </row>
    <row r="57" spans="2:15" x14ac:dyDescent="0.25">
      <c r="B57" s="68" t="s">
        <v>119</v>
      </c>
      <c r="C57" s="68"/>
      <c r="D57" s="68"/>
      <c r="E57" s="68" t="s">
        <v>120</v>
      </c>
      <c r="F57" s="68"/>
      <c r="G57" s="68"/>
      <c r="H57" s="68"/>
      <c r="I57" s="68"/>
    </row>
    <row r="58" spans="2:15" x14ac:dyDescent="0.25">
      <c r="B58" s="62"/>
      <c r="C58" s="69" t="s">
        <v>122</v>
      </c>
      <c r="D58" s="69"/>
      <c r="E58" s="69" t="s">
        <v>116</v>
      </c>
      <c r="F58" s="69"/>
      <c r="G58" s="69"/>
      <c r="H58" s="69"/>
    </row>
    <row r="59" spans="2:15" x14ac:dyDescent="0.25">
      <c r="B59" s="62" t="s">
        <v>68</v>
      </c>
      <c r="C59" s="62">
        <f>IFERROR(SUMPRODUCT(K48:K53,C37:C42)/K55,)</f>
        <v>187.45913116859995</v>
      </c>
      <c r="E59" s="62">
        <f>SUMPRODUCT(C59:C63,M18:M22)</f>
        <v>31462483.664617721</v>
      </c>
      <c r="F59" s="62"/>
      <c r="G59" s="62"/>
      <c r="H59" s="62"/>
    </row>
    <row r="60" spans="2:15" x14ac:dyDescent="0.25">
      <c r="B60" s="62" t="s">
        <v>66</v>
      </c>
      <c r="C60" s="62">
        <f>IFERROR(SUMPRODUCT(L48:L53,D37:D42)/L55,)</f>
        <v>309.16945237841878</v>
      </c>
      <c r="E60" s="62"/>
      <c r="F60" s="62"/>
      <c r="G60" s="62"/>
      <c r="H60" s="62"/>
    </row>
    <row r="61" spans="2:15" x14ac:dyDescent="0.25">
      <c r="B61" s="62" t="s">
        <v>64</v>
      </c>
      <c r="C61" s="62">
        <f>IFERROR(SUMPRODUCT(M48:M53,E37:E42)/M55,)</f>
        <v>223.76945237841883</v>
      </c>
      <c r="E61" s="62"/>
      <c r="F61" s="62"/>
      <c r="G61" s="62"/>
      <c r="H61" s="62"/>
    </row>
    <row r="62" spans="2:15" x14ac:dyDescent="0.25">
      <c r="B62" s="62" t="s">
        <v>96</v>
      </c>
      <c r="C62" s="62">
        <f>IFERROR(SUMPRODUCT(N48:N53,F37:F42)/N55,)</f>
        <v>137.87047599549294</v>
      </c>
      <c r="E62" s="62"/>
      <c r="F62" s="62"/>
      <c r="G62" s="62"/>
      <c r="H62" s="62"/>
    </row>
    <row r="63" spans="2:15" x14ac:dyDescent="0.25">
      <c r="B63" s="62" t="s">
        <v>77</v>
      </c>
      <c r="C63" s="62">
        <f>IFERROR(SUMPRODUCT(O48:O53,G37:G42)/O55,)</f>
        <v>268.39567563582591</v>
      </c>
      <c r="E63" s="62"/>
      <c r="F63" s="62"/>
      <c r="G63" s="62"/>
      <c r="H63" s="62"/>
    </row>
    <row r="64" spans="2:15" x14ac:dyDescent="0.25">
      <c r="B64" s="62"/>
      <c r="C64" s="62"/>
      <c r="E64" s="62"/>
      <c r="F64" s="62"/>
      <c r="G64" s="62"/>
      <c r="H64" s="62"/>
    </row>
    <row r="65" spans="1:15" x14ac:dyDescent="0.25">
      <c r="B65" s="68" t="s">
        <v>211</v>
      </c>
      <c r="C65" s="68"/>
      <c r="D65" s="68"/>
      <c r="E65" s="68"/>
      <c r="F65" s="68"/>
      <c r="G65" s="68"/>
      <c r="H65" s="68"/>
      <c r="I65" s="68"/>
    </row>
    <row r="66" spans="1:15" x14ac:dyDescent="0.25">
      <c r="B66" s="69" t="s">
        <v>212</v>
      </c>
      <c r="C66" s="69"/>
      <c r="G66" s="69"/>
      <c r="H66" s="69"/>
    </row>
    <row r="67" spans="1:15" x14ac:dyDescent="0.25">
      <c r="B67" s="69" t="s">
        <v>8</v>
      </c>
      <c r="C67" s="62" t="s">
        <v>68</v>
      </c>
      <c r="D67" s="62" t="s">
        <v>66</v>
      </c>
      <c r="E67" s="62" t="s">
        <v>64</v>
      </c>
      <c r="F67" s="62" t="s">
        <v>96</v>
      </c>
      <c r="G67" s="62" t="s">
        <v>77</v>
      </c>
      <c r="H67" s="62"/>
    </row>
    <row r="68" spans="1:15" x14ac:dyDescent="0.25">
      <c r="B68" s="62"/>
      <c r="C68" s="236">
        <f>$E$30/($M$24-$M$21)</f>
        <v>2.407737600162491E-3</v>
      </c>
      <c r="D68" s="236">
        <f t="shared" ref="D68:F68" si="6">$E$30/($M$24-$M$21)</f>
        <v>2.407737600162491E-3</v>
      </c>
      <c r="E68" s="236">
        <f t="shared" si="6"/>
        <v>2.407737600162491E-3</v>
      </c>
      <c r="F68" s="236">
        <f t="shared" si="6"/>
        <v>2.407737600162491E-3</v>
      </c>
      <c r="G68" s="236">
        <f>$E$30/($M$24-$M$21)</f>
        <v>2.407737600162491E-3</v>
      </c>
      <c r="H68" s="62"/>
    </row>
    <row r="69" spans="1:15" x14ac:dyDescent="0.25">
      <c r="B69" s="62"/>
      <c r="C69" s="62"/>
      <c r="E69" s="62"/>
      <c r="F69" s="62"/>
      <c r="G69" s="62"/>
      <c r="H69" s="62"/>
    </row>
    <row r="70" spans="1:15" x14ac:dyDescent="0.25">
      <c r="B70" s="69" t="s">
        <v>213</v>
      </c>
      <c r="C70" s="62"/>
      <c r="E70" s="62"/>
      <c r="F70" s="62"/>
      <c r="G70" s="62"/>
      <c r="H70" s="62"/>
    </row>
    <row r="71" spans="1:15" x14ac:dyDescent="0.25">
      <c r="B71" s="62" t="s">
        <v>70</v>
      </c>
      <c r="C71" s="236">
        <f>IFERROR($E$29/($E$24-$E$21),)</f>
        <v>0</v>
      </c>
    </row>
    <row r="72" spans="1:15" x14ac:dyDescent="0.25">
      <c r="B72" s="62" t="s">
        <v>73</v>
      </c>
      <c r="C72" s="236">
        <f t="shared" ref="C72:C76" si="7">IFERROR($E$29/($E$24-$E$21),)</f>
        <v>0</v>
      </c>
      <c r="D72" s="68"/>
      <c r="E72" s="68"/>
      <c r="F72" s="68"/>
      <c r="G72" s="68"/>
      <c r="L72" s="68"/>
      <c r="N72" s="68"/>
      <c r="O72" s="68"/>
    </row>
    <row r="73" spans="1:15" x14ac:dyDescent="0.25">
      <c r="B73" s="62" t="s">
        <v>68</v>
      </c>
      <c r="C73" s="236">
        <f t="shared" si="7"/>
        <v>0</v>
      </c>
    </row>
    <row r="74" spans="1:15" x14ac:dyDescent="0.25">
      <c r="B74" s="62" t="s">
        <v>96</v>
      </c>
      <c r="C74" s="236">
        <f t="shared" si="7"/>
        <v>0</v>
      </c>
      <c r="D74" s="69"/>
      <c r="E74" s="69"/>
      <c r="F74" s="69"/>
      <c r="L74" s="69"/>
      <c r="N74" s="69"/>
      <c r="O74" s="69"/>
    </row>
    <row r="75" spans="1:15" x14ac:dyDescent="0.25">
      <c r="B75" s="62" t="s">
        <v>79</v>
      </c>
      <c r="C75" s="236">
        <f t="shared" si="7"/>
        <v>0</v>
      </c>
      <c r="E75" s="62"/>
      <c r="F75" s="62"/>
      <c r="G75" s="62"/>
      <c r="H75" s="62"/>
    </row>
    <row r="76" spans="1:15" x14ac:dyDescent="0.25">
      <c r="B76" s="62" t="s">
        <v>77</v>
      </c>
      <c r="C76" s="236">
        <f t="shared" si="7"/>
        <v>0</v>
      </c>
      <c r="E76" s="62"/>
      <c r="F76" s="62"/>
      <c r="G76" s="62"/>
      <c r="H76" s="62"/>
    </row>
    <row r="77" spans="1:15" x14ac:dyDescent="0.25">
      <c r="B77" s="62"/>
      <c r="C77" s="62"/>
      <c r="E77" s="62"/>
      <c r="F77" s="62"/>
      <c r="G77" s="62"/>
      <c r="H77" s="62"/>
    </row>
    <row r="80" spans="1:15" ht="18.75" x14ac:dyDescent="0.3">
      <c r="A80" s="58" t="s">
        <v>151</v>
      </c>
    </row>
    <row r="82" spans="2:12" x14ac:dyDescent="0.25">
      <c r="B82" s="68" t="s">
        <v>152</v>
      </c>
      <c r="J82" s="68" t="s">
        <v>153</v>
      </c>
    </row>
    <row r="83" spans="2:12" x14ac:dyDescent="0.25">
      <c r="B83" s="69" t="s">
        <v>154</v>
      </c>
      <c r="C83" s="69" t="s">
        <v>155</v>
      </c>
      <c r="D83" s="69" t="s">
        <v>156</v>
      </c>
      <c r="E83" s="69" t="s">
        <v>156</v>
      </c>
      <c r="F83" s="69" t="s">
        <v>155</v>
      </c>
      <c r="G83" s="69" t="s">
        <v>156</v>
      </c>
      <c r="J83" s="75" t="s">
        <v>157</v>
      </c>
      <c r="K83" s="75"/>
      <c r="L83" s="75"/>
    </row>
    <row r="84" spans="2:12" x14ac:dyDescent="0.25">
      <c r="B84" s="62"/>
      <c r="C84" s="62" t="s">
        <v>64</v>
      </c>
      <c r="D84" s="62" t="s">
        <v>68</v>
      </c>
      <c r="E84" s="62" t="s">
        <v>66</v>
      </c>
      <c r="F84" s="62" t="s">
        <v>96</v>
      </c>
      <c r="G84" s="62" t="s">
        <v>77</v>
      </c>
      <c r="J84" s="74"/>
      <c r="K84" s="69" t="s">
        <v>158</v>
      </c>
      <c r="L84" s="69" t="s">
        <v>159</v>
      </c>
    </row>
    <row r="85" spans="2:12" x14ac:dyDescent="0.25">
      <c r="B85" s="69" t="s">
        <v>160</v>
      </c>
      <c r="C85" s="62">
        <f>M20</f>
        <v>32617.53715664415</v>
      </c>
      <c r="D85" s="62">
        <f>M18</f>
        <v>1210.3652733292447</v>
      </c>
      <c r="E85" s="62">
        <f>M19</f>
        <v>1</v>
      </c>
      <c r="F85" s="62">
        <f>M21</f>
        <v>6000</v>
      </c>
      <c r="G85" s="74">
        <f>M22</f>
        <v>86101.421472000002</v>
      </c>
      <c r="J85" s="76" t="s">
        <v>70</v>
      </c>
      <c r="K85" s="62">
        <f>(K39*E37+K40*F37)/SUM(K39,K40)</f>
        <v>175.67490211102648</v>
      </c>
      <c r="L85" s="62">
        <f>(K37*C37+K38*D37+K41*G37)/SUM(K37,K38,K41)</f>
        <v>241.70839486771601</v>
      </c>
    </row>
    <row r="86" spans="2:12" x14ac:dyDescent="0.25">
      <c r="B86" s="69" t="s">
        <v>161</v>
      </c>
      <c r="C86" s="62">
        <f>C85*C61</f>
        <v>7298808.4274749896</v>
      </c>
      <c r="D86" s="62">
        <f>D85*C59</f>
        <v>226894.02253494522</v>
      </c>
      <c r="E86" s="62">
        <f>E85*C60</f>
        <v>309.16945237841878</v>
      </c>
      <c r="F86" s="62">
        <f>F85*C62</f>
        <v>827222.85597295768</v>
      </c>
      <c r="G86" s="74">
        <f>G85*C63</f>
        <v>23109249.189182449</v>
      </c>
      <c r="J86" s="76" t="s">
        <v>73</v>
      </c>
      <c r="K86" s="62">
        <f>(L39*E38+L40*F38)/SUM(L39,L40)</f>
        <v>118.87490211102647</v>
      </c>
      <c r="L86" s="62">
        <f>(L37*C38+L38*D38+L41*G38)/SUM(L37,L38,L41)</f>
        <v>184.908394867716</v>
      </c>
    </row>
    <row r="87" spans="2:12" x14ac:dyDescent="0.25">
      <c r="J87" s="76" t="s">
        <v>68</v>
      </c>
      <c r="K87" s="62">
        <f>(M39*E39+M40*F39)/SUM(M39,M40)</f>
        <v>211.87490211102647</v>
      </c>
      <c r="L87" s="62">
        <f>(M37*C39+M38*D39+M41*G39)/SUM(M37,M38,M41)</f>
        <v>193.20137510650659</v>
      </c>
    </row>
    <row r="88" spans="2:12" x14ac:dyDescent="0.25">
      <c r="C88" s="62" t="s">
        <v>162</v>
      </c>
      <c r="J88" s="76" t="s">
        <v>96</v>
      </c>
      <c r="K88" s="62">
        <f>(N39*E40+N40*F40)/SUM(N39,N40)</f>
        <v>92.2</v>
      </c>
      <c r="L88" s="62">
        <f>(N37*C40+N38*D40+N41*G40)/SUM(N37,N38,N41)</f>
        <v>145.04511213574327</v>
      </c>
    </row>
    <row r="89" spans="2:12" x14ac:dyDescent="0.25">
      <c r="C89" s="62"/>
      <c r="J89" s="76" t="s">
        <v>79</v>
      </c>
      <c r="K89" s="62">
        <f>(O39*E41+O40*F41)/SUM(O39,O40)</f>
        <v>232.67490211102651</v>
      </c>
      <c r="L89" s="62">
        <f>(O37*C41+O38*D41+O41*G41)/SUM(O37,O38,O41)</f>
        <v>298.70839486771604</v>
      </c>
    </row>
    <row r="90" spans="2:12" x14ac:dyDescent="0.25">
      <c r="C90" s="62"/>
      <c r="J90" s="76" t="s">
        <v>77</v>
      </c>
      <c r="K90" s="62">
        <f>(P39*E42+P40*F42)/SUM(P39,P40)</f>
        <v>67.325097888973531</v>
      </c>
      <c r="L90" s="62">
        <f>(P37*C42+P38*D42+P41*G42)/SUM(P37,P38,P41)</f>
        <v>286.06147861120468</v>
      </c>
    </row>
    <row r="91" spans="2:12" x14ac:dyDescent="0.25">
      <c r="B91" s="68" t="s">
        <v>163</v>
      </c>
      <c r="J91" s="68" t="s">
        <v>164</v>
      </c>
      <c r="K91" s="62"/>
      <c r="L91" s="62"/>
    </row>
    <row r="92" spans="2:12" ht="23.25" x14ac:dyDescent="0.25">
      <c r="C92" s="76" t="s">
        <v>165</v>
      </c>
      <c r="D92" s="76" t="s">
        <v>166</v>
      </c>
      <c r="E92" s="76" t="s">
        <v>167</v>
      </c>
      <c r="F92" s="76" t="s">
        <v>168</v>
      </c>
      <c r="G92" s="76" t="s">
        <v>169</v>
      </c>
      <c r="J92" s="76" t="s">
        <v>170</v>
      </c>
      <c r="K92" s="62">
        <f>SUMPRODUCT(C93:C98,C71:C76)</f>
        <v>0</v>
      </c>
      <c r="L92" s="62"/>
    </row>
    <row r="93" spans="2:12" ht="23.25" x14ac:dyDescent="0.25">
      <c r="B93" s="76" t="s">
        <v>70</v>
      </c>
      <c r="C93" s="62">
        <f t="shared" ref="C93:C98" si="8">SUM($D$85,$E$85,$G$85)/SUM($E$18:$E$23)*E18</f>
        <v>13455.279880568336</v>
      </c>
      <c r="D93" s="62" t="s">
        <v>171</v>
      </c>
      <c r="E93" s="62">
        <f t="shared" ref="E93:E98" si="9">E18-C93</f>
        <v>6776.1372335573706</v>
      </c>
      <c r="F93" s="62">
        <f>C93*L85</f>
        <v>3252254.1024280461</v>
      </c>
      <c r="G93" s="62">
        <f>E93*K85</f>
        <v>1190397.2451960729</v>
      </c>
      <c r="J93" s="76" t="s">
        <v>172</v>
      </c>
      <c r="K93" s="62">
        <f>E29-K92</f>
        <v>0</v>
      </c>
      <c r="L93" s="62"/>
    </row>
    <row r="94" spans="2:12" ht="23.25" x14ac:dyDescent="0.25">
      <c r="B94" s="76" t="s">
        <v>73</v>
      </c>
      <c r="C94" s="62">
        <f t="shared" si="8"/>
        <v>4102.1430103084494</v>
      </c>
      <c r="D94" s="62" t="s">
        <v>171</v>
      </c>
      <c r="E94" s="62">
        <f t="shared" si="9"/>
        <v>2065.8569896915506</v>
      </c>
      <c r="F94" s="62">
        <f>C94*L86</f>
        <v>758520.67955395591</v>
      </c>
      <c r="G94" s="62">
        <f>E94*K86</f>
        <v>245578.54742496289</v>
      </c>
      <c r="J94" s="76" t="s">
        <v>173</v>
      </c>
      <c r="K94" s="62">
        <f>D85*C68+E85*D68+G85*G68</f>
        <v>210.22627962169838</v>
      </c>
      <c r="L94" s="62"/>
    </row>
    <row r="95" spans="2:12" ht="23.25" x14ac:dyDescent="0.25">
      <c r="B95" s="76" t="s">
        <v>68</v>
      </c>
      <c r="C95" s="62">
        <f t="shared" si="8"/>
        <v>8501.6021276629981</v>
      </c>
      <c r="D95" s="62" t="s">
        <v>171</v>
      </c>
      <c r="E95" s="62">
        <f t="shared" si="9"/>
        <v>4281.4436588081207</v>
      </c>
      <c r="F95" s="62">
        <f>C95*L87</f>
        <v>1642521.2216728935</v>
      </c>
      <c r="G95" s="62">
        <f>E95*K87</f>
        <v>907130.45610384562</v>
      </c>
      <c r="J95" s="76" t="s">
        <v>174</v>
      </c>
      <c r="K95" s="62">
        <f>E30-K94</f>
        <v>78.53447063674929</v>
      </c>
      <c r="L95" s="62"/>
    </row>
    <row r="96" spans="2:12" x14ac:dyDescent="0.25">
      <c r="B96" s="76" t="s">
        <v>96</v>
      </c>
      <c r="C96" s="62">
        <f t="shared" si="8"/>
        <v>3990.4114886268958</v>
      </c>
      <c r="D96" s="62" t="s">
        <v>171</v>
      </c>
      <c r="E96" s="62">
        <f t="shared" si="9"/>
        <v>2009.5885113731042</v>
      </c>
      <c r="F96" s="62">
        <f>C96*L88</f>
        <v>578789.68183564628</v>
      </c>
      <c r="G96" s="62">
        <f>E96*K88</f>
        <v>185284.06074860023</v>
      </c>
      <c r="H96" s="69"/>
      <c r="J96" s="77" t="s">
        <v>175</v>
      </c>
      <c r="K96" s="62">
        <f>K93+K95</f>
        <v>78.53447063674929</v>
      </c>
      <c r="L96" s="62"/>
    </row>
    <row r="97" spans="2:12" x14ac:dyDescent="0.25">
      <c r="B97" s="76" t="s">
        <v>79</v>
      </c>
      <c r="C97" s="62">
        <f>SUM($D$85,$E$85,$G$85)/SUM($E$18:$E$23)*E22</f>
        <v>57263.350238162551</v>
      </c>
      <c r="D97" s="62"/>
      <c r="E97" s="62">
        <f t="shared" si="9"/>
        <v>28838.071233837451</v>
      </c>
      <c r="F97" s="62">
        <f t="shared" ref="F97:F98" si="10">C97*L89</f>
        <v>17105043.434389379</v>
      </c>
      <c r="G97" s="62">
        <f t="shared" ref="G97:G98" si="11">E97*K89</f>
        <v>6709895.4014039384</v>
      </c>
      <c r="H97" s="69"/>
      <c r="J97" s="77"/>
      <c r="K97" s="62"/>
      <c r="L97" s="62"/>
    </row>
    <row r="98" spans="2:12" x14ac:dyDescent="0.25">
      <c r="B98" s="76" t="s">
        <v>77</v>
      </c>
      <c r="C98" s="62">
        <f t="shared" si="8"/>
        <v>0</v>
      </c>
      <c r="D98" s="62"/>
      <c r="E98" s="62">
        <f t="shared" si="9"/>
        <v>0</v>
      </c>
      <c r="F98" s="62">
        <f t="shared" si="10"/>
        <v>0</v>
      </c>
      <c r="G98" s="62">
        <f t="shared" si="11"/>
        <v>0</v>
      </c>
      <c r="H98" s="69"/>
      <c r="J98" s="77"/>
      <c r="K98" s="62"/>
      <c r="L98" s="62"/>
    </row>
    <row r="99" spans="2:12" x14ac:dyDescent="0.25">
      <c r="B99" s="76"/>
      <c r="C99" s="62"/>
      <c r="D99" s="62"/>
      <c r="E99" s="62"/>
      <c r="F99" s="62"/>
      <c r="G99" s="62"/>
      <c r="J99" s="77" t="s">
        <v>176</v>
      </c>
      <c r="K99" s="62">
        <f>K92+K94</f>
        <v>210.22627962169838</v>
      </c>
      <c r="L99" s="62"/>
    </row>
    <row r="100" spans="2:12" x14ac:dyDescent="0.25">
      <c r="B100" s="76" t="s">
        <v>177</v>
      </c>
      <c r="C100" s="62">
        <f>SUM(C93:C98)</f>
        <v>87312.786745329227</v>
      </c>
      <c r="D100" s="62"/>
      <c r="E100" s="62">
        <f>SUM(E93:E98)</f>
        <v>43971.097627267598</v>
      </c>
      <c r="F100" s="62">
        <f>SUM(F93:F98)</f>
        <v>23337129.11987992</v>
      </c>
      <c r="G100" s="62">
        <f>SUM(G93:G98)</f>
        <v>9238285.7108774204</v>
      </c>
    </row>
    <row r="101" spans="2:12" x14ac:dyDescent="0.25">
      <c r="B101" s="76"/>
      <c r="C101" s="62"/>
      <c r="D101" s="62"/>
      <c r="E101" s="62"/>
      <c r="F101" s="62"/>
      <c r="G101" s="62"/>
    </row>
    <row r="102" spans="2:12" x14ac:dyDescent="0.25">
      <c r="B102" s="76" t="s">
        <v>178</v>
      </c>
      <c r="C102" s="62">
        <f>SUM(D85,E85,G85)</f>
        <v>87312.786745329242</v>
      </c>
      <c r="D102" s="62"/>
      <c r="E102" s="62"/>
      <c r="F102" s="62"/>
      <c r="G102" s="62"/>
    </row>
    <row r="103" spans="2:12" x14ac:dyDescent="0.25">
      <c r="B103" s="76"/>
    </row>
    <row r="104" spans="2:12" x14ac:dyDescent="0.25">
      <c r="B104" s="76"/>
    </row>
    <row r="105" spans="2:12" x14ac:dyDescent="0.25">
      <c r="B105" s="68" t="s">
        <v>179</v>
      </c>
      <c r="J105" s="68" t="s">
        <v>180</v>
      </c>
    </row>
    <row r="106" spans="2:12" ht="29.25" customHeight="1" x14ac:dyDescent="0.25">
      <c r="B106" s="76" t="s">
        <v>169</v>
      </c>
      <c r="C106" s="78"/>
      <c r="D106" s="62">
        <f>G100</f>
        <v>9238285.7108774204</v>
      </c>
      <c r="E106" s="62"/>
      <c r="J106" s="79" t="s">
        <v>181</v>
      </c>
      <c r="K106" s="80"/>
      <c r="L106" s="81"/>
    </row>
    <row r="107" spans="2:12" ht="27" customHeight="1" x14ac:dyDescent="0.25">
      <c r="B107" s="76" t="s">
        <v>182</v>
      </c>
      <c r="C107" s="78"/>
      <c r="D107" s="62">
        <f>C86+F86</f>
        <v>8126031.2834479474</v>
      </c>
      <c r="E107" s="62"/>
      <c r="J107" s="82" t="s">
        <v>183</v>
      </c>
      <c r="K107" s="83">
        <f>K96*10^6/D108</f>
        <v>4.5227503426949784</v>
      </c>
      <c r="L107" s="84" t="s">
        <v>184</v>
      </c>
    </row>
    <row r="108" spans="2:12" ht="31.5" customHeight="1" x14ac:dyDescent="0.25">
      <c r="B108" s="77" t="s">
        <v>185</v>
      </c>
      <c r="C108" s="78"/>
      <c r="D108" s="62">
        <f>SUM(D106:D107)</f>
        <v>17364316.99432537</v>
      </c>
      <c r="E108" s="62"/>
      <c r="J108" s="82" t="s">
        <v>186</v>
      </c>
      <c r="K108" s="83">
        <f>K99*10^6/D111</f>
        <v>4.5041814418499326</v>
      </c>
      <c r="L108" s="84" t="s">
        <v>187</v>
      </c>
    </row>
    <row r="109" spans="2:12" ht="28.5" customHeight="1" x14ac:dyDescent="0.25">
      <c r="B109" s="76" t="s">
        <v>188</v>
      </c>
      <c r="C109" s="78"/>
      <c r="D109" s="62">
        <f>F100</f>
        <v>23337129.11987992</v>
      </c>
      <c r="E109" s="62"/>
      <c r="J109" s="82" t="s">
        <v>189</v>
      </c>
      <c r="K109" s="85">
        <f>2*(ABS(K107-K108))/(K107+K108)</f>
        <v>4.1141112591185835E-3</v>
      </c>
      <c r="L109" s="84" t="s">
        <v>190</v>
      </c>
    </row>
    <row r="110" spans="2:12" ht="34.5" customHeight="1" x14ac:dyDescent="0.25">
      <c r="B110" s="76" t="s">
        <v>191</v>
      </c>
      <c r="C110" s="78"/>
      <c r="D110" s="62">
        <f>SUM(D86,E86,G86)</f>
        <v>23336452.381169774</v>
      </c>
      <c r="E110" s="62"/>
    </row>
    <row r="111" spans="2:12" ht="30" customHeight="1" x14ac:dyDescent="0.25">
      <c r="B111" s="77" t="s">
        <v>192</v>
      </c>
      <c r="C111" s="78"/>
      <c r="D111" s="62">
        <f>SUM(D109:D110)</f>
        <v>46673581.501049697</v>
      </c>
      <c r="E111" s="62"/>
    </row>
    <row r="112" spans="2:12" x14ac:dyDescent="0.25">
      <c r="D112" s="62"/>
      <c r="E112" s="62"/>
    </row>
    <row r="113" spans="4:5" x14ac:dyDescent="0.25">
      <c r="D113" s="62"/>
      <c r="E113" s="62"/>
    </row>
  </sheetData>
  <conditionalFormatting sqref="K109">
    <cfRule type="cellIs" dxfId="9" priority="1" operator="lessThan">
      <formula>0.1</formula>
    </cfRule>
    <cfRule type="cellIs" dxfId="8" priority="2" operator="greaterThan">
      <formula>0.1</formula>
    </cfRule>
  </conditionalFormatting>
  <dataValidations count="1">
    <dataValidation type="list" allowBlank="1" showInputMessage="1" showErrorMessage="1" sqref="F12" xr:uid="{00000000-0002-0000-2000-000000000000}">
      <formula1>"Nybro (P1),New entry point (BP1)"</formula1>
    </dataValidation>
  </dataValidations>
  <pageMargins left="0.7" right="0.7" top="0.75" bottom="0.75" header="0.3" footer="0.3"/>
  <pageSetup paperSize="9" orientation="portrait" horizontalDpi="1200"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FF0000"/>
  </sheetPr>
  <dimension ref="A1:N47"/>
  <sheetViews>
    <sheetView workbookViewId="0">
      <selection activeCell="A25" sqref="A25"/>
    </sheetView>
  </sheetViews>
  <sheetFormatPr defaultColWidth="9.140625" defaultRowHeight="15" x14ac:dyDescent="0.25"/>
  <cols>
    <col min="1" max="1" width="31.85546875" style="53" bestFit="1" customWidth="1"/>
    <col min="2" max="2" width="11.42578125" style="53" customWidth="1"/>
    <col min="3" max="3" width="12" style="53" customWidth="1"/>
    <col min="4" max="4" width="12.5703125" style="53" customWidth="1"/>
    <col min="5" max="5" width="12.42578125" style="53" customWidth="1"/>
    <col min="6" max="6" width="13.5703125" style="53" customWidth="1"/>
    <col min="7" max="7" width="9.140625" style="53"/>
    <col min="8" max="8" width="17.42578125" style="53" customWidth="1"/>
    <col min="9" max="9" width="15.42578125" style="53" customWidth="1"/>
    <col min="10" max="10" width="10.5703125" style="53" customWidth="1"/>
    <col min="11" max="11" width="20.85546875" style="53" customWidth="1"/>
    <col min="12" max="16384" width="9.140625" style="53"/>
  </cols>
  <sheetData>
    <row r="1" spans="1:14" ht="15.75" thickBot="1" x14ac:dyDescent="0.3">
      <c r="C1" s="137">
        <f>C4/$B$4</f>
        <v>1.0357864493643265E-2</v>
      </c>
      <c r="D1" s="137">
        <f>D4/$B$4</f>
        <v>3.2546067122909091E-2</v>
      </c>
      <c r="E1" s="137">
        <f>E4/$B$4</f>
        <v>5.2575714333930552E-2</v>
      </c>
      <c r="F1" s="137">
        <f>F4/$B$4</f>
        <v>0.90452035404951703</v>
      </c>
    </row>
    <row r="2" spans="1:14" ht="45.75" thickBot="1" x14ac:dyDescent="0.3">
      <c r="A2" s="138" t="s">
        <v>217</v>
      </c>
      <c r="B2" s="139" t="s">
        <v>218</v>
      </c>
      <c r="C2" s="140" t="s">
        <v>219</v>
      </c>
      <c r="D2" s="141" t="s">
        <v>220</v>
      </c>
      <c r="E2" s="141" t="s">
        <v>221</v>
      </c>
      <c r="F2" s="142" t="s">
        <v>222</v>
      </c>
      <c r="H2" s="143" t="s">
        <v>223</v>
      </c>
      <c r="I2" s="278" t="s">
        <v>35</v>
      </c>
      <c r="K2" s="143" t="s">
        <v>224</v>
      </c>
      <c r="L2" s="144">
        <v>2025</v>
      </c>
    </row>
    <row r="3" spans="1:14" x14ac:dyDescent="0.25">
      <c r="A3" s="145" t="s">
        <v>225</v>
      </c>
      <c r="B3" s="146">
        <f>L6</f>
        <v>288.76075025844767</v>
      </c>
      <c r="C3" s="147"/>
      <c r="D3" s="147"/>
      <c r="E3" s="147"/>
      <c r="F3" s="148">
        <f>B3</f>
        <v>288.76075025844767</v>
      </c>
      <c r="H3" s="149" t="s">
        <v>226</v>
      </c>
      <c r="I3" s="150">
        <f>'Forecasted Capacities'!F3</f>
        <v>32617.53715664415</v>
      </c>
      <c r="K3" s="151" t="s">
        <v>16</v>
      </c>
      <c r="L3" s="152">
        <f>Costbase!F31</f>
        <v>673.77508393637777</v>
      </c>
    </row>
    <row r="4" spans="1:14" x14ac:dyDescent="0.25">
      <c r="A4" s="153" t="s">
        <v>227</v>
      </c>
      <c r="B4" s="154">
        <f>L3</f>
        <v>673.77508393637777</v>
      </c>
      <c r="C4" s="155">
        <f>(1/3)*L11</f>
        <v>6.9788710186061182</v>
      </c>
      <c r="D4" s="155">
        <f>((1/3)*L11)+(L12*(2/3))</f>
        <v>21.928729107537055</v>
      </c>
      <c r="E4" s="155">
        <f>(I15/(I13+I18))*(B4-C4-D4)</f>
        <v>35.424206338359078</v>
      </c>
      <c r="F4" s="156">
        <f>B4-C4-D4-E4</f>
        <v>609.44327747187549</v>
      </c>
      <c r="H4" s="149" t="s">
        <v>228</v>
      </c>
      <c r="I4" s="150">
        <f>'Forecasted Capacities'!F4</f>
        <v>1</v>
      </c>
      <c r="K4" s="157" t="s">
        <v>229</v>
      </c>
      <c r="L4" s="152">
        <v>43.361400189214763</v>
      </c>
    </row>
    <row r="5" spans="1:14" x14ac:dyDescent="0.25">
      <c r="A5" s="153" t="s">
        <v>230</v>
      </c>
      <c r="B5" s="154"/>
      <c r="C5" s="158"/>
      <c r="D5" s="158"/>
      <c r="E5" s="158"/>
      <c r="F5" s="156">
        <f>-C5</f>
        <v>0</v>
      </c>
      <c r="H5" s="159" t="s">
        <v>231</v>
      </c>
      <c r="I5" s="150">
        <f>'Forecasted Capacities'!F5</f>
        <v>1210.3652733292447</v>
      </c>
      <c r="K5" s="157" t="s">
        <v>232</v>
      </c>
      <c r="L5" s="160" t="e">
        <f>Costbase!#REF!</f>
        <v>#REF!</v>
      </c>
      <c r="N5" s="222" t="s">
        <v>259</v>
      </c>
    </row>
    <row r="6" spans="1:14" ht="15.75" thickBot="1" x14ac:dyDescent="0.3">
      <c r="A6" s="161" t="s">
        <v>263</v>
      </c>
      <c r="B6" s="162">
        <f>SUM(B3:B4)</f>
        <v>962.53583419482538</v>
      </c>
      <c r="C6" s="162">
        <f>SUM(C3:C5)</f>
        <v>6.9788710186061182</v>
      </c>
      <c r="D6" s="162">
        <f>SUM(D3:D4)</f>
        <v>21.928729107537055</v>
      </c>
      <c r="E6" s="162">
        <f>SUM(E3:E4)</f>
        <v>35.424206338359078</v>
      </c>
      <c r="F6" s="163">
        <f>SUM(F3:F5)</f>
        <v>898.20402773032311</v>
      </c>
      <c r="H6" s="159" t="s">
        <v>9</v>
      </c>
      <c r="I6" s="150">
        <f>'Forecasted Capacities'!F7</f>
        <v>86101.421472000002</v>
      </c>
      <c r="K6" s="151" t="s">
        <v>15</v>
      </c>
      <c r="L6" s="152">
        <f>Costbase!F32</f>
        <v>288.76075025844767</v>
      </c>
    </row>
    <row r="7" spans="1:14" ht="16.5" thickTop="1" thickBot="1" x14ac:dyDescent="0.3">
      <c r="A7" s="166" t="s">
        <v>234</v>
      </c>
      <c r="B7" s="167"/>
      <c r="C7" s="168"/>
      <c r="D7" s="168"/>
      <c r="E7" s="168"/>
      <c r="F7" s="156"/>
      <c r="H7" s="164" t="s">
        <v>233</v>
      </c>
      <c r="I7" s="165">
        <f>SUM(I3:I6)</f>
        <v>119930.3239019734</v>
      </c>
      <c r="K7" s="151" t="s">
        <v>236</v>
      </c>
      <c r="L7" s="160">
        <f>L3/(L3+L6)</f>
        <v>0.7</v>
      </c>
    </row>
    <row r="8" spans="1:14" ht="15.75" thickTop="1" x14ac:dyDescent="0.25">
      <c r="A8" s="166" t="s">
        <v>237</v>
      </c>
      <c r="B8" s="167"/>
      <c r="C8" s="171"/>
      <c r="D8" s="171"/>
      <c r="E8" s="171"/>
      <c r="F8" s="171"/>
      <c r="H8" s="169" t="s">
        <v>235</v>
      </c>
      <c r="I8" s="170"/>
      <c r="K8" s="151"/>
      <c r="L8" s="152"/>
    </row>
    <row r="9" spans="1:14" x14ac:dyDescent="0.25">
      <c r="A9" s="172" t="s">
        <v>238</v>
      </c>
      <c r="B9" s="167"/>
      <c r="C9" s="171"/>
      <c r="D9" s="171"/>
      <c r="E9" s="171"/>
      <c r="F9" s="156"/>
      <c r="H9" s="149" t="s">
        <v>63</v>
      </c>
      <c r="I9" s="150">
        <f>'Forecasted Capacities'!F11</f>
        <v>3516666.6666666665</v>
      </c>
      <c r="K9" s="151" t="s">
        <v>239</v>
      </c>
      <c r="L9" s="160">
        <v>0.48283987519909233</v>
      </c>
    </row>
    <row r="10" spans="1:14" x14ac:dyDescent="0.25">
      <c r="A10" s="173" t="s">
        <v>240</v>
      </c>
      <c r="B10" s="174">
        <f>SUM(B7:B9)</f>
        <v>0</v>
      </c>
      <c r="C10" s="174">
        <f t="shared" ref="C10:F10" si="0">SUM(C7:C9)</f>
        <v>0</v>
      </c>
      <c r="D10" s="174">
        <f t="shared" si="0"/>
        <v>0</v>
      </c>
      <c r="E10" s="174">
        <f>SUM(E7:E9)</f>
        <v>0</v>
      </c>
      <c r="F10" s="175">
        <f t="shared" si="0"/>
        <v>0</v>
      </c>
      <c r="H10" s="149" t="s">
        <v>65</v>
      </c>
      <c r="I10" s="150">
        <f>'Forecasted Capacities'!F12</f>
        <v>1</v>
      </c>
      <c r="K10" s="176" t="s">
        <v>241</v>
      </c>
      <c r="L10" s="177">
        <v>0.51716012480090767</v>
      </c>
    </row>
    <row r="11" spans="1:14" x14ac:dyDescent="0.25">
      <c r="A11" s="178"/>
      <c r="B11" s="179"/>
      <c r="C11" s="180"/>
      <c r="D11" s="180"/>
      <c r="E11" s="180"/>
      <c r="F11" s="181"/>
      <c r="H11" s="159" t="s">
        <v>67</v>
      </c>
      <c r="I11" s="150">
        <f>'Forecasted Capacities'!F13</f>
        <v>950000</v>
      </c>
      <c r="K11" s="176" t="s">
        <v>243</v>
      </c>
      <c r="L11" s="182">
        <v>20.936613055818356</v>
      </c>
    </row>
    <row r="12" spans="1:14" ht="15.75" thickBot="1" x14ac:dyDescent="0.3">
      <c r="A12" s="173" t="s">
        <v>244</v>
      </c>
      <c r="B12" s="183" t="s">
        <v>218</v>
      </c>
      <c r="C12" s="184" t="s">
        <v>243</v>
      </c>
      <c r="D12" s="184" t="s">
        <v>245</v>
      </c>
      <c r="E12" s="184"/>
      <c r="F12" s="185" t="s">
        <v>246</v>
      </c>
      <c r="H12" s="159" t="s">
        <v>264</v>
      </c>
      <c r="I12" s="150">
        <f>'Forecasted Capacities'!F14</f>
        <v>10994517.589041095</v>
      </c>
      <c r="K12" s="187" t="s">
        <v>245</v>
      </c>
      <c r="L12" s="188">
        <v>22.424787133396407</v>
      </c>
    </row>
    <row r="13" spans="1:14" ht="16.5" thickTop="1" thickBot="1" x14ac:dyDescent="0.3">
      <c r="A13" s="153" t="s">
        <v>225</v>
      </c>
      <c r="B13" s="167">
        <f>B3-B7+F5</f>
        <v>288.76075025844767</v>
      </c>
      <c r="C13" s="171"/>
      <c r="D13" s="171"/>
      <c r="E13" s="171"/>
      <c r="F13" s="156">
        <f>F3+F5</f>
        <v>288.76075025844767</v>
      </c>
      <c r="H13" s="164" t="s">
        <v>242</v>
      </c>
      <c r="I13" s="165">
        <f>SUM(I9:I12)</f>
        <v>15461185.255707761</v>
      </c>
      <c r="J13" s="150"/>
    </row>
    <row r="14" spans="1:14" ht="15.75" thickTop="1" x14ac:dyDescent="0.25">
      <c r="A14" s="153" t="s">
        <v>227</v>
      </c>
      <c r="B14" s="189">
        <f>B4-B8</f>
        <v>673.77508393637777</v>
      </c>
      <c r="C14" s="189">
        <f>C6-C10</f>
        <v>6.9788710186061182</v>
      </c>
      <c r="D14" s="189">
        <f>D4-D10</f>
        <v>21.928729107537055</v>
      </c>
      <c r="E14" s="189">
        <f>E4-E10</f>
        <v>35.424206338359078</v>
      </c>
      <c r="F14" s="189">
        <f>F4-F8-F9</f>
        <v>609.44327747187549</v>
      </c>
      <c r="H14" s="186" t="s">
        <v>247</v>
      </c>
      <c r="I14" s="150">
        <f>'Forecasted Capacities'!F16</f>
        <v>2400000</v>
      </c>
    </row>
    <row r="15" spans="1:14" ht="15.75" thickBot="1" x14ac:dyDescent="0.3">
      <c r="A15" s="190" t="s">
        <v>218</v>
      </c>
      <c r="B15" s="191">
        <f>SUM(B13:B14)</f>
        <v>962.53583419482538</v>
      </c>
      <c r="C15" s="191">
        <f t="shared" ref="C15:E15" si="1">SUM(C13:C14)</f>
        <v>6.9788710186061182</v>
      </c>
      <c r="D15" s="191">
        <f t="shared" si="1"/>
        <v>21.928729107537055</v>
      </c>
      <c r="E15" s="191">
        <f t="shared" si="1"/>
        <v>35.424206338359078</v>
      </c>
      <c r="F15" s="192">
        <f>SUM(F13:F14)</f>
        <v>898.20402773032311</v>
      </c>
      <c r="H15" s="159" t="s">
        <v>71</v>
      </c>
      <c r="I15" s="150">
        <f>'Forecasted Capacities'!F17</f>
        <v>1726950</v>
      </c>
    </row>
    <row r="16" spans="1:14" x14ac:dyDescent="0.25">
      <c r="H16" s="159" t="s">
        <v>72</v>
      </c>
      <c r="I16" s="150">
        <f>'Forecasted Capacities'!F18</f>
        <v>854999.99999999988</v>
      </c>
    </row>
    <row r="17" spans="1:12" ht="15.75" thickBot="1" x14ac:dyDescent="0.3">
      <c r="H17" s="159" t="s">
        <v>265</v>
      </c>
      <c r="I17" s="150">
        <f>'Forecasted Capacities'!F19</f>
        <v>10994517.589041095</v>
      </c>
    </row>
    <row r="18" spans="1:12" ht="35.25" thickTop="1" thickBot="1" x14ac:dyDescent="0.3">
      <c r="A18" s="138" t="s">
        <v>250</v>
      </c>
      <c r="B18" s="195" t="s">
        <v>199</v>
      </c>
      <c r="C18" s="196" t="s">
        <v>29</v>
      </c>
      <c r="D18" s="197" t="s">
        <v>251</v>
      </c>
      <c r="E18" s="198" t="s">
        <v>252</v>
      </c>
      <c r="F18" s="142" t="s">
        <v>253</v>
      </c>
      <c r="H18" s="193" t="s">
        <v>248</v>
      </c>
      <c r="I18" s="194">
        <f>SUM(I14:I17)</f>
        <v>15976467.589041095</v>
      </c>
    </row>
    <row r="19" spans="1:12" ht="15.75" thickBot="1" x14ac:dyDescent="0.3">
      <c r="A19" s="201" t="s">
        <v>255</v>
      </c>
      <c r="B19" s="202">
        <v>12.945207090671333</v>
      </c>
      <c r="C19" s="203">
        <v>15.821607578251736</v>
      </c>
      <c r="D19" s="203">
        <v>14.231059990149252</v>
      </c>
      <c r="E19" s="204">
        <v>11.060432311571477</v>
      </c>
      <c r="F19" s="203">
        <v>10.44720409942445</v>
      </c>
    </row>
    <row r="20" spans="1:12" x14ac:dyDescent="0.25">
      <c r="A20" s="161" t="s">
        <v>256</v>
      </c>
      <c r="B20" s="205">
        <f>B14*10^6/(I13+I18)</f>
        <v>21.432105229475518</v>
      </c>
      <c r="C20" s="206">
        <f>C14*10^6/I15+E20</f>
        <v>24.553737720817161</v>
      </c>
      <c r="D20" s="206">
        <f>D14*10^6/(I9+I10)+F20</f>
        <v>26.748239445263359</v>
      </c>
      <c r="E20" s="207">
        <f>E14/I15*10^6</f>
        <v>20.512583652311346</v>
      </c>
      <c r="F20" s="206">
        <f>F14/(I13+I18-I15)*10^6</f>
        <v>20.512583652311342</v>
      </c>
      <c r="H20" s="143" t="s">
        <v>249</v>
      </c>
      <c r="I20" s="144">
        <v>2017</v>
      </c>
    </row>
    <row r="21" spans="1:12" ht="15.75" thickBot="1" x14ac:dyDescent="0.3">
      <c r="A21" s="208" t="s">
        <v>257</v>
      </c>
      <c r="B21" s="187">
        <f>$B$13/$I$7</f>
        <v>2.407737600162491E-3</v>
      </c>
      <c r="C21" s="187">
        <f>$B$13/$I$7</f>
        <v>2.407737600162491E-3</v>
      </c>
      <c r="D21" s="237">
        <f>$B$13/$I$7</f>
        <v>2.407737600162491E-3</v>
      </c>
      <c r="E21" s="238">
        <f>D21</f>
        <v>2.407737600162491E-3</v>
      </c>
      <c r="F21" s="237">
        <f>$B$13/$I$7</f>
        <v>2.407737600162491E-3</v>
      </c>
      <c r="H21" s="199" t="s">
        <v>254</v>
      </c>
      <c r="I21" s="200"/>
    </row>
    <row r="22" spans="1:12" ht="15.75" thickBot="1" x14ac:dyDescent="0.3">
      <c r="A22" s="212" t="s">
        <v>258</v>
      </c>
      <c r="B22" s="213" t="s">
        <v>171</v>
      </c>
      <c r="C22" s="214">
        <f>(C20-$B$20)/$B$20</f>
        <v>0.14565216332777567</v>
      </c>
      <c r="D22" s="214">
        <f>(D20-$B$20)/$B$20</f>
        <v>0.24804535806760483</v>
      </c>
      <c r="E22" s="214"/>
      <c r="F22" s="214">
        <f>(F20-$B$20)/$B$20</f>
        <v>-4.2903931616552538E-2</v>
      </c>
      <c r="K22" s="50"/>
      <c r="L22" s="50"/>
    </row>
    <row r="23" spans="1:12" x14ac:dyDescent="0.25">
      <c r="G23" s="50"/>
      <c r="H23" s="50"/>
      <c r="I23" s="50"/>
      <c r="K23" s="50"/>
      <c r="L23" s="50"/>
    </row>
    <row r="24" spans="1:12" x14ac:dyDescent="0.25">
      <c r="A24" s="50"/>
      <c r="B24" s="50"/>
      <c r="C24" s="50"/>
      <c r="D24" s="50"/>
      <c r="E24" s="50"/>
      <c r="F24" s="50"/>
      <c r="G24" s="50"/>
      <c r="H24" s="50"/>
      <c r="I24" s="50"/>
      <c r="K24" s="50"/>
      <c r="L24" s="50"/>
    </row>
    <row r="25" spans="1:12" x14ac:dyDescent="0.25">
      <c r="A25" s="215"/>
      <c r="B25" s="50"/>
      <c r="C25" s="50"/>
      <c r="D25" s="50"/>
      <c r="E25" s="50"/>
      <c r="F25" s="50"/>
      <c r="G25" s="50"/>
      <c r="H25" s="50"/>
      <c r="I25" s="50"/>
      <c r="K25" s="50"/>
      <c r="L25" s="50"/>
    </row>
    <row r="26" spans="1:12" x14ac:dyDescent="0.25">
      <c r="A26" s="215"/>
      <c r="B26" s="50"/>
      <c r="C26" s="50"/>
      <c r="G26" s="50"/>
      <c r="H26" s="50"/>
      <c r="I26" s="50"/>
      <c r="K26" s="50"/>
      <c r="L26" s="50"/>
    </row>
    <row r="27" spans="1:12" x14ac:dyDescent="0.25">
      <c r="A27" s="215"/>
      <c r="B27" s="50"/>
      <c r="C27" s="50"/>
      <c r="G27" s="50"/>
      <c r="H27" s="50"/>
      <c r="I27" s="50"/>
      <c r="K27" s="50"/>
      <c r="L27" s="50"/>
    </row>
    <row r="28" spans="1:12" x14ac:dyDescent="0.25">
      <c r="A28" s="215"/>
      <c r="B28" s="50"/>
      <c r="C28" s="50"/>
      <c r="G28" s="50"/>
      <c r="H28" s="50"/>
      <c r="I28" s="50"/>
      <c r="K28" s="50"/>
      <c r="L28" s="50"/>
    </row>
    <row r="29" spans="1:12" x14ac:dyDescent="0.25">
      <c r="A29" s="215"/>
      <c r="B29" s="50"/>
      <c r="C29" s="50"/>
      <c r="G29" s="50"/>
      <c r="H29" s="50"/>
      <c r="I29" s="50"/>
      <c r="K29" s="50"/>
      <c r="L29" s="50"/>
    </row>
    <row r="30" spans="1:12" x14ac:dyDescent="0.25">
      <c r="A30" s="215"/>
      <c r="B30" s="50"/>
      <c r="C30" s="50"/>
      <c r="G30" s="50"/>
      <c r="H30" s="50"/>
      <c r="I30" s="50"/>
    </row>
    <row r="31" spans="1:12" x14ac:dyDescent="0.25">
      <c r="A31" s="215"/>
      <c r="B31" s="50"/>
      <c r="C31" s="50"/>
      <c r="G31" s="50"/>
      <c r="H31" s="50"/>
      <c r="I31" s="50"/>
    </row>
    <row r="32" spans="1:12" x14ac:dyDescent="0.25">
      <c r="A32" s="50"/>
      <c r="B32" s="50"/>
      <c r="C32" s="50"/>
    </row>
    <row r="40" spans="7:10" x14ac:dyDescent="0.25">
      <c r="G40" s="50"/>
      <c r="H40" s="216"/>
      <c r="I40" s="50"/>
      <c r="J40" s="50"/>
    </row>
    <row r="41" spans="7:10" x14ac:dyDescent="0.25">
      <c r="G41" s="50"/>
      <c r="H41" s="216"/>
      <c r="I41" s="50"/>
      <c r="J41" s="50"/>
    </row>
    <row r="42" spans="7:10" x14ac:dyDescent="0.25">
      <c r="G42" s="50"/>
      <c r="H42" s="216"/>
      <c r="I42" s="50"/>
      <c r="J42" s="50"/>
    </row>
    <row r="43" spans="7:10" x14ac:dyDescent="0.25">
      <c r="G43" s="50"/>
      <c r="H43" s="216"/>
      <c r="I43" s="50"/>
      <c r="J43" s="50"/>
    </row>
    <row r="44" spans="7:10" x14ac:dyDescent="0.25">
      <c r="G44" s="50"/>
      <c r="H44" s="216"/>
      <c r="I44" s="50"/>
      <c r="J44" s="50"/>
    </row>
    <row r="45" spans="7:10" x14ac:dyDescent="0.25">
      <c r="G45" s="50"/>
      <c r="H45" s="216"/>
      <c r="I45" s="50"/>
      <c r="J45" s="50"/>
    </row>
    <row r="46" spans="7:10" x14ac:dyDescent="0.25">
      <c r="G46" s="50"/>
      <c r="H46" s="216"/>
      <c r="I46" s="50"/>
      <c r="J46" s="50"/>
    </row>
    <row r="47" spans="7:10" x14ac:dyDescent="0.25">
      <c r="G47" s="50"/>
      <c r="H47" s="216"/>
      <c r="I47" s="50"/>
      <c r="J47" s="50"/>
    </row>
  </sheetData>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FF0000"/>
  </sheetPr>
  <dimension ref="A1:R122"/>
  <sheetViews>
    <sheetView topLeftCell="A109" zoomScaleNormal="100" workbookViewId="0">
      <selection activeCell="A25" sqref="A25"/>
    </sheetView>
  </sheetViews>
  <sheetFormatPr defaultColWidth="9.140625" defaultRowHeight="15" x14ac:dyDescent="0.25"/>
  <cols>
    <col min="1" max="1" width="9.140625" style="53"/>
    <col min="2" max="2" width="19.42578125" style="53" customWidth="1"/>
    <col min="3" max="3" width="9.140625" style="53"/>
    <col min="4" max="4" width="14.5703125" style="53" customWidth="1"/>
    <col min="5" max="5" width="13.42578125" style="53" customWidth="1"/>
    <col min="6" max="6" width="11.140625" style="53" customWidth="1"/>
    <col min="7" max="7" width="12.42578125" style="53" customWidth="1"/>
    <col min="8" max="9" width="9.140625" style="53"/>
    <col min="10" max="10" width="17.85546875" style="53" customWidth="1"/>
    <col min="11" max="12" width="9.140625" style="53"/>
    <col min="13" max="13" width="10.5703125" style="53" customWidth="1"/>
    <col min="14" max="14" width="9.140625" style="53" customWidth="1"/>
    <col min="15"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Capacities'!G16*10^(-3)</f>
        <v>2562.5</v>
      </c>
      <c r="F18" s="61"/>
      <c r="G18" s="60"/>
      <c r="H18" s="60"/>
      <c r="I18" s="60"/>
      <c r="J18" s="61" t="s">
        <v>68</v>
      </c>
      <c r="K18" s="61">
        <v>56.8</v>
      </c>
      <c r="L18" s="61">
        <v>0</v>
      </c>
      <c r="M18" s="61">
        <f>'Forecasted Capacities'!G13*10^(-3)</f>
        <v>1200</v>
      </c>
      <c r="N18" s="64"/>
      <c r="R18" s="62"/>
    </row>
    <row r="19" spans="1:18" x14ac:dyDescent="0.25">
      <c r="B19" s="61" t="s">
        <v>73</v>
      </c>
      <c r="C19" s="61">
        <v>56.8</v>
      </c>
      <c r="D19" s="61">
        <v>93</v>
      </c>
      <c r="E19" s="61">
        <f>'Forecasted Capacities'!G18*10^(-3)</f>
        <v>887.50000000000011</v>
      </c>
      <c r="F19" s="61"/>
      <c r="G19" s="60"/>
      <c r="H19" s="60"/>
      <c r="I19" s="60"/>
      <c r="J19" s="61" t="s">
        <v>66</v>
      </c>
      <c r="K19" s="61">
        <v>275.39999999999998</v>
      </c>
      <c r="L19" s="61">
        <v>93</v>
      </c>
      <c r="M19" s="61">
        <f>'Forecasted Capacities'!G12*10^(-3)</f>
        <v>1E-3</v>
      </c>
      <c r="N19" s="61"/>
      <c r="R19" s="62"/>
    </row>
    <row r="20" spans="1:18" x14ac:dyDescent="0.25">
      <c r="B20" s="61" t="s">
        <v>68</v>
      </c>
      <c r="C20" s="61">
        <v>56.8</v>
      </c>
      <c r="D20" s="61">
        <v>0</v>
      </c>
      <c r="E20" s="61">
        <f>'Forecasted Capacities'!G17*10^(-3)</f>
        <v>1587.5</v>
      </c>
      <c r="F20" s="61"/>
      <c r="G20" s="60"/>
      <c r="H20" s="60"/>
      <c r="I20" s="60"/>
      <c r="J20" s="61" t="s">
        <v>64</v>
      </c>
      <c r="K20" s="61">
        <v>190</v>
      </c>
      <c r="L20" s="61">
        <v>93</v>
      </c>
      <c r="M20" s="61">
        <f>'Forecasted Capacities'!G11*10^(-3)</f>
        <v>3395.8333333333335</v>
      </c>
      <c r="N20" s="61"/>
      <c r="R20" s="62"/>
    </row>
    <row r="21" spans="1:18" x14ac:dyDescent="0.25">
      <c r="B21" s="61" t="s">
        <v>96</v>
      </c>
      <c r="C21" s="61">
        <v>97.8</v>
      </c>
      <c r="D21" s="61">
        <v>93</v>
      </c>
      <c r="E21" s="61">
        <f>'Forecasted Capacities'!G22*10^(-3)</f>
        <v>7000</v>
      </c>
      <c r="F21" s="61"/>
      <c r="G21" s="60"/>
      <c r="H21" s="60"/>
      <c r="I21" s="60"/>
      <c r="J21" s="61" t="s">
        <v>96</v>
      </c>
      <c r="K21" s="61">
        <v>97.8</v>
      </c>
      <c r="L21" s="61">
        <v>93</v>
      </c>
      <c r="M21" s="61">
        <f>'Forecasted Capacities'!G21*10^(-3)</f>
        <v>4000</v>
      </c>
      <c r="N21" s="61"/>
      <c r="R21" s="62"/>
    </row>
    <row r="22" spans="1:18" x14ac:dyDescent="0.25">
      <c r="B22" s="61" t="s">
        <v>79</v>
      </c>
      <c r="C22" s="233">
        <v>0</v>
      </c>
      <c r="D22" s="233">
        <v>150</v>
      </c>
      <c r="E22" s="61">
        <f>'Forecasted Capacities'!G19*10^(-3)</f>
        <v>10994.517589041096</v>
      </c>
      <c r="F22" s="60"/>
      <c r="G22" s="60"/>
      <c r="H22" s="60"/>
      <c r="I22" s="60"/>
      <c r="J22" s="61" t="s">
        <v>77</v>
      </c>
      <c r="K22" s="233">
        <v>200</v>
      </c>
      <c r="L22" s="233">
        <v>50</v>
      </c>
      <c r="M22" s="61">
        <f>'Forecasted Capacities'!G14*10^(-3)</f>
        <v>10994.517589041096</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23032.017589041097</v>
      </c>
      <c r="F24" s="60"/>
      <c r="G24" s="60"/>
      <c r="H24" s="60"/>
      <c r="I24" s="60"/>
      <c r="J24" s="60"/>
      <c r="K24" s="60"/>
      <c r="L24" s="60"/>
      <c r="M24" s="65">
        <f>SUM(M18:M22)</f>
        <v>19590.35192237443</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'30. Current tariff method 25'!B13+'30. Current tariff method 25'!B14</f>
        <v>968.58968676213726</v>
      </c>
      <c r="F26" s="60"/>
      <c r="G26" s="60"/>
      <c r="H26" s="60"/>
      <c r="I26" s="60"/>
      <c r="J26" s="60"/>
      <c r="K26" s="60"/>
      <c r="L26" s="60"/>
      <c r="M26" s="60"/>
      <c r="N26" s="60"/>
    </row>
    <row r="27" spans="1:18" x14ac:dyDescent="0.25">
      <c r="A27" s="63" t="s">
        <v>99</v>
      </c>
      <c r="B27" s="60"/>
      <c r="C27" s="61" t="s">
        <v>100</v>
      </c>
      <c r="D27" s="60"/>
      <c r="E27" s="61">
        <f>'30. Current tariff method 25'!B14</f>
        <v>678.01278073349602</v>
      </c>
      <c r="F27" s="60"/>
      <c r="G27" s="60"/>
      <c r="H27" s="60"/>
      <c r="I27" s="60"/>
      <c r="J27" s="60"/>
      <c r="K27" s="60"/>
      <c r="L27" s="60"/>
      <c r="M27" s="60"/>
      <c r="N27" s="60"/>
    </row>
    <row r="28" spans="1:18" x14ac:dyDescent="0.25">
      <c r="A28" s="63" t="s">
        <v>101</v>
      </c>
      <c r="B28" s="60"/>
      <c r="C28" s="61" t="s">
        <v>102</v>
      </c>
      <c r="D28" s="61"/>
      <c r="E28" s="61">
        <v>0.5</v>
      </c>
      <c r="F28" s="60"/>
      <c r="G28" s="60"/>
      <c r="H28" s="60"/>
      <c r="I28" s="60"/>
      <c r="J28" s="60"/>
      <c r="K28" s="60"/>
      <c r="L28" s="60"/>
      <c r="M28" s="60"/>
      <c r="N28" s="60"/>
    </row>
    <row r="29" spans="1:18" x14ac:dyDescent="0.25">
      <c r="A29" s="63" t="s">
        <v>101</v>
      </c>
      <c r="B29" s="60"/>
      <c r="C29" s="61" t="s">
        <v>103</v>
      </c>
      <c r="D29" s="61"/>
      <c r="E29" s="61">
        <f>E27*E28</f>
        <v>339.00639036674801</v>
      </c>
      <c r="F29" s="60"/>
      <c r="G29" s="60"/>
      <c r="H29" s="60"/>
      <c r="I29" s="60"/>
      <c r="J29" s="60"/>
      <c r="K29" s="60"/>
      <c r="L29" s="60"/>
      <c r="N29" s="60"/>
    </row>
    <row r="30" spans="1:18" x14ac:dyDescent="0.25">
      <c r="B30" s="60"/>
      <c r="C30" s="61" t="s">
        <v>104</v>
      </c>
      <c r="D30" s="61"/>
      <c r="E30" s="61">
        <f>E27*(1-E28)</f>
        <v>339.00639036674801</v>
      </c>
      <c r="F30" s="60"/>
      <c r="G30" s="60"/>
      <c r="H30" s="60"/>
      <c r="I30" s="60"/>
      <c r="J30" s="60"/>
      <c r="K30" s="60"/>
      <c r="L30" s="60"/>
      <c r="M30" s="60"/>
      <c r="N30" s="60"/>
    </row>
    <row r="31" spans="1:18" x14ac:dyDescent="0.25">
      <c r="B31" s="60"/>
      <c r="C31" s="61" t="s">
        <v>105</v>
      </c>
      <c r="D31" s="60"/>
      <c r="E31" s="61">
        <f>'30. Current tariff method 25'!B13</f>
        <v>290.57690602864125</v>
      </c>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$M18</f>
        <v>1200</v>
      </c>
      <c r="L37" s="62">
        <f t="shared" ref="K37:L41" si="0">$M18</f>
        <v>1200</v>
      </c>
      <c r="M37" s="62">
        <v>0</v>
      </c>
      <c r="N37" s="62">
        <f>$M18</f>
        <v>1200</v>
      </c>
      <c r="O37" s="62">
        <f t="shared" ref="O37:P41" si="1">$M18</f>
        <v>1200</v>
      </c>
      <c r="P37" s="62">
        <f t="shared" si="1"/>
        <v>1200</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1E-3</v>
      </c>
      <c r="L38" s="62">
        <f t="shared" si="0"/>
        <v>1E-3</v>
      </c>
      <c r="M38" s="62">
        <f>$M19</f>
        <v>1E-3</v>
      </c>
      <c r="N38" s="62">
        <f>$M19</f>
        <v>1E-3</v>
      </c>
      <c r="O38" s="62">
        <f t="shared" si="1"/>
        <v>1E-3</v>
      </c>
      <c r="P38" s="62">
        <f t="shared" si="1"/>
        <v>1E-3</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3395.8333333333335</v>
      </c>
      <c r="L39" s="62">
        <f t="shared" si="0"/>
        <v>3395.8333333333335</v>
      </c>
      <c r="M39" s="62">
        <f>$M20</f>
        <v>3395.8333333333335</v>
      </c>
      <c r="N39" s="62">
        <f>$M20</f>
        <v>3395.8333333333335</v>
      </c>
      <c r="O39" s="62">
        <f t="shared" si="1"/>
        <v>3395.8333333333335</v>
      </c>
      <c r="P39" s="62">
        <f t="shared" si="1"/>
        <v>3395.8333333333335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4000</v>
      </c>
      <c r="L40" s="62">
        <f t="shared" si="0"/>
        <v>4000</v>
      </c>
      <c r="M40" s="62">
        <f>$M21</f>
        <v>4000</v>
      </c>
      <c r="N40" s="62">
        <v>0</v>
      </c>
      <c r="O40" s="62">
        <f t="shared" si="1"/>
        <v>4000</v>
      </c>
      <c r="P40" s="62">
        <f t="shared" si="1"/>
        <v>4000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10994.517589041096</v>
      </c>
      <c r="L41" s="62">
        <f t="shared" si="0"/>
        <v>10994.517589041096</v>
      </c>
      <c r="M41" s="62">
        <f>$M22</f>
        <v>10994.517589041096</v>
      </c>
      <c r="N41" s="62">
        <f>$M22</f>
        <v>10994.517589041096</v>
      </c>
      <c r="O41" s="62">
        <f t="shared" si="1"/>
        <v>10994.517589041096</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19590.35192237443</v>
      </c>
      <c r="L43" s="70">
        <f t="shared" ref="L43:P43" si="2">SUM(L37:L41)</f>
        <v>19590.35192237443</v>
      </c>
      <c r="M43" s="70">
        <f t="shared" si="2"/>
        <v>18390.35192237443</v>
      </c>
      <c r="N43" s="70">
        <f t="shared" si="2"/>
        <v>15590.35192237443</v>
      </c>
      <c r="O43" s="70">
        <f>SUM(O37:O41)</f>
        <v>19590.35192237443</v>
      </c>
      <c r="P43" s="70">
        <f t="shared" si="2"/>
        <v>8595.8343333333323</v>
      </c>
    </row>
    <row r="45" spans="1:16" x14ac:dyDescent="0.25">
      <c r="B45" s="68" t="s">
        <v>110</v>
      </c>
      <c r="C45" s="68"/>
      <c r="D45" s="68"/>
      <c r="E45" s="68" t="s">
        <v>111</v>
      </c>
      <c r="F45" s="68"/>
      <c r="G45" s="68"/>
      <c r="H45" s="68" t="s">
        <v>112</v>
      </c>
      <c r="I45" s="68"/>
      <c r="J45" s="68" t="s">
        <v>113</v>
      </c>
      <c r="K45" s="68"/>
    </row>
    <row r="46" spans="1:16" x14ac:dyDescent="0.25">
      <c r="A46" s="63" t="s">
        <v>114</v>
      </c>
      <c r="B46" s="62"/>
      <c r="C46" s="69" t="s">
        <v>115</v>
      </c>
      <c r="D46" s="69"/>
      <c r="E46" s="69" t="s">
        <v>116</v>
      </c>
      <c r="F46" s="62"/>
      <c r="G46" s="62"/>
      <c r="H46" s="69" t="s">
        <v>117</v>
      </c>
      <c r="I46" s="62"/>
      <c r="J46" s="69" t="s">
        <v>118</v>
      </c>
      <c r="K46" s="69" t="s">
        <v>8</v>
      </c>
    </row>
    <row r="47" spans="1:16" x14ac:dyDescent="0.25">
      <c r="B47" s="62" t="s">
        <v>70</v>
      </c>
      <c r="C47" s="62">
        <f>MMULT(C37:G37,K37:K41)/K43</f>
        <v>198.45668920474901</v>
      </c>
      <c r="D47" s="62"/>
      <c r="E47" s="62">
        <f>SUMPRODUCT(C47:C52,E18:E23)</f>
        <v>4668381.6581672821</v>
      </c>
      <c r="F47" s="62"/>
      <c r="G47" s="62"/>
      <c r="H47" s="62">
        <f>E18*C47/$E$47</f>
        <v>0.10893395256094261</v>
      </c>
      <c r="I47" s="62"/>
      <c r="J47" s="69" t="s">
        <v>26</v>
      </c>
      <c r="K47" s="62" t="s">
        <v>68</v>
      </c>
      <c r="L47" s="62" t="s">
        <v>66</v>
      </c>
      <c r="M47" s="62" t="s">
        <v>64</v>
      </c>
      <c r="N47" s="62" t="s">
        <v>96</v>
      </c>
      <c r="O47" s="62" t="s">
        <v>77</v>
      </c>
    </row>
    <row r="48" spans="1:16" x14ac:dyDescent="0.25">
      <c r="B48" s="62" t="s">
        <v>73</v>
      </c>
      <c r="C48" s="62">
        <f>MMULT(C38:G38,L37:L41)/L43</f>
        <v>141.65668920474903</v>
      </c>
      <c r="D48" s="62"/>
      <c r="E48" s="62"/>
      <c r="F48" s="62"/>
      <c r="G48" s="62"/>
      <c r="H48" s="62">
        <f t="shared" ref="H48:H52" si="3">E19*C48/$E$47</f>
        <v>2.6930169997833934E-2</v>
      </c>
      <c r="I48" s="62"/>
      <c r="J48" s="62" t="s">
        <v>70</v>
      </c>
      <c r="K48" s="62">
        <f t="shared" ref="K48:O49" si="4">$E18</f>
        <v>2562.5</v>
      </c>
      <c r="L48" s="62">
        <f t="shared" si="4"/>
        <v>2562.5</v>
      </c>
      <c r="M48" s="62">
        <f t="shared" si="4"/>
        <v>2562.5</v>
      </c>
      <c r="N48" s="62">
        <f t="shared" si="4"/>
        <v>2562.5</v>
      </c>
      <c r="O48" s="62">
        <f t="shared" si="4"/>
        <v>2562.5</v>
      </c>
    </row>
    <row r="49" spans="2:15" x14ac:dyDescent="0.25">
      <c r="B49" s="62" t="s">
        <v>68</v>
      </c>
      <c r="C49" s="62">
        <f>MMULT(C39:G39,M37:M41)/M43</f>
        <v>186.417237923096</v>
      </c>
      <c r="D49" s="62"/>
      <c r="E49" s="62"/>
      <c r="F49" s="62"/>
      <c r="G49" s="62"/>
      <c r="H49" s="62">
        <f t="shared" si="3"/>
        <v>6.3391853295708095E-2</v>
      </c>
      <c r="I49" s="62"/>
      <c r="J49" s="62" t="s">
        <v>73</v>
      </c>
      <c r="K49" s="62">
        <f t="shared" si="4"/>
        <v>887.50000000000011</v>
      </c>
      <c r="L49" s="62">
        <f t="shared" si="4"/>
        <v>887.50000000000011</v>
      </c>
      <c r="M49" s="62">
        <f t="shared" si="4"/>
        <v>887.50000000000011</v>
      </c>
      <c r="N49" s="62">
        <f t="shared" si="4"/>
        <v>887.50000000000011</v>
      </c>
      <c r="O49" s="62">
        <f t="shared" si="4"/>
        <v>887.50000000000011</v>
      </c>
    </row>
    <row r="50" spans="2:15" x14ac:dyDescent="0.25">
      <c r="B50" s="62" t="s">
        <v>96</v>
      </c>
      <c r="C50" s="62">
        <f>MMULT(C40:G40,N37:N41)/N43</f>
        <v>132.79366464402369</v>
      </c>
      <c r="D50" s="62"/>
      <c r="E50" s="62"/>
      <c r="F50" s="62"/>
      <c r="G50" s="62"/>
      <c r="H50" s="62">
        <f t="shared" si="3"/>
        <v>0.19911732171295773</v>
      </c>
      <c r="I50" s="62"/>
      <c r="J50" s="62" t="s">
        <v>68</v>
      </c>
      <c r="K50" s="62">
        <v>0</v>
      </c>
      <c r="L50" s="62">
        <f>$E20</f>
        <v>1587.5</v>
      </c>
      <c r="M50" s="62">
        <f>$E20</f>
        <v>1587.5</v>
      </c>
      <c r="N50" s="62">
        <f>$E20</f>
        <v>1587.5</v>
      </c>
      <c r="O50" s="62">
        <f>$E20</f>
        <v>1587.5</v>
      </c>
    </row>
    <row r="51" spans="2:15" x14ac:dyDescent="0.25">
      <c r="B51" s="62" t="s">
        <v>79</v>
      </c>
      <c r="C51" s="62">
        <f>MMULT(C41:G41,O37:O41)/O43</f>
        <v>255.45668920474901</v>
      </c>
      <c r="H51" s="62">
        <f t="shared" si="3"/>
        <v>0.60162670243255767</v>
      </c>
      <c r="J51" s="62" t="s">
        <v>96</v>
      </c>
      <c r="K51" s="62">
        <f>$E21</f>
        <v>7000</v>
      </c>
      <c r="L51" s="62">
        <f>$E21</f>
        <v>7000</v>
      </c>
      <c r="M51" s="62">
        <f>$E21</f>
        <v>7000</v>
      </c>
      <c r="N51" s="62">
        <v>0</v>
      </c>
      <c r="O51" s="62">
        <f>$E21</f>
        <v>7000</v>
      </c>
    </row>
    <row r="52" spans="2:15" x14ac:dyDescent="0.25">
      <c r="B52" s="62" t="s">
        <v>77</v>
      </c>
      <c r="C52" s="62">
        <f>MMULT(C42:G42,P37:P41)/P43</f>
        <v>128.45981463191686</v>
      </c>
      <c r="H52" s="62">
        <f t="shared" si="3"/>
        <v>0</v>
      </c>
      <c r="J52" s="62" t="s">
        <v>79</v>
      </c>
      <c r="K52" s="62">
        <f>$E22</f>
        <v>10994.517589041096</v>
      </c>
      <c r="L52" s="62">
        <f t="shared" ref="L52:O53" si="5">$E22</f>
        <v>10994.517589041096</v>
      </c>
      <c r="M52" s="62">
        <f t="shared" si="5"/>
        <v>10994.517589041096</v>
      </c>
      <c r="N52" s="62">
        <f t="shared" si="5"/>
        <v>10994.517589041096</v>
      </c>
      <c r="O52" s="62">
        <f t="shared" si="5"/>
        <v>10994.517589041096</v>
      </c>
    </row>
    <row r="53" spans="2:15" x14ac:dyDescent="0.25">
      <c r="C53" s="62"/>
      <c r="H53" s="62"/>
      <c r="J53" s="62" t="s">
        <v>77</v>
      </c>
      <c r="K53" s="62">
        <f>$E23</f>
        <v>0</v>
      </c>
      <c r="L53" s="62">
        <f t="shared" si="5"/>
        <v>0</v>
      </c>
      <c r="M53" s="62">
        <f t="shared" si="5"/>
        <v>0</v>
      </c>
      <c r="N53" s="62">
        <f t="shared" si="5"/>
        <v>0</v>
      </c>
      <c r="O53" s="62">
        <v>0</v>
      </c>
    </row>
    <row r="54" spans="2:15" x14ac:dyDescent="0.25">
      <c r="C54" s="62"/>
      <c r="H54" s="62"/>
      <c r="J54" s="62"/>
      <c r="K54" s="62"/>
      <c r="L54" s="62"/>
      <c r="M54" s="62"/>
      <c r="N54" s="62"/>
    </row>
    <row r="55" spans="2:15" x14ac:dyDescent="0.25">
      <c r="J55" s="70" t="s">
        <v>14</v>
      </c>
      <c r="K55" s="70">
        <f>SUM(K48:K53)</f>
        <v>21444.517589041097</v>
      </c>
      <c r="L55" s="70">
        <f t="shared" ref="L55:O55" si="6">SUM(L48:L53)</f>
        <v>23032.017589041097</v>
      </c>
      <c r="M55" s="70">
        <f t="shared" si="6"/>
        <v>23032.017589041097</v>
      </c>
      <c r="N55" s="70">
        <f t="shared" si="6"/>
        <v>16032.017589041096</v>
      </c>
      <c r="O55" s="70">
        <f t="shared" si="6"/>
        <v>23032.017589041097</v>
      </c>
    </row>
    <row r="57" spans="2:15" x14ac:dyDescent="0.25">
      <c r="B57" s="68" t="s">
        <v>119</v>
      </c>
      <c r="C57" s="68"/>
      <c r="D57" s="68"/>
      <c r="E57" s="68" t="s">
        <v>120</v>
      </c>
      <c r="F57" s="68"/>
      <c r="G57" s="68"/>
      <c r="H57" s="68" t="s">
        <v>121</v>
      </c>
      <c r="I57" s="68"/>
    </row>
    <row r="58" spans="2:15" x14ac:dyDescent="0.25">
      <c r="B58" s="62"/>
      <c r="C58" s="69" t="s">
        <v>122</v>
      </c>
      <c r="D58" s="69"/>
      <c r="E58" s="69" t="s">
        <v>116</v>
      </c>
      <c r="F58" s="69"/>
      <c r="G58" s="69"/>
      <c r="H58" s="69" t="s">
        <v>123</v>
      </c>
    </row>
    <row r="59" spans="2:15" x14ac:dyDescent="0.25">
      <c r="B59" s="62" t="s">
        <v>68</v>
      </c>
      <c r="C59" s="62">
        <f>SUMPRODUCT(K48:K53,C37:C42)/K55</f>
        <v>171.515457139186</v>
      </c>
      <c r="E59" s="62">
        <f>SUMPRODUCT(C59:C63,M18:M22)</f>
        <v>3975069.3830927564</v>
      </c>
      <c r="F59" s="62"/>
      <c r="G59" s="62"/>
      <c r="H59" s="62">
        <f>M18*C59/$E$59</f>
        <v>5.177734744516295E-2</v>
      </c>
    </row>
    <row r="60" spans="2:15" x14ac:dyDescent="0.25">
      <c r="B60" s="62" t="s">
        <v>66</v>
      </c>
      <c r="C60" s="62">
        <f>SUMPRODUCT(L48:L53,D37:D42)/L55</f>
        <v>273.19198686228617</v>
      </c>
      <c r="E60" s="62"/>
      <c r="F60" s="62"/>
      <c r="G60" s="62"/>
      <c r="H60" s="62">
        <f>M19*C60/$E$59</f>
        <v>6.8726344255589406E-8</v>
      </c>
    </row>
    <row r="61" spans="2:15" x14ac:dyDescent="0.25">
      <c r="B61" s="62" t="s">
        <v>64</v>
      </c>
      <c r="C61" s="62">
        <f>SUMPRODUCT(M48:M53,E37:E42)/M55</f>
        <v>187.79198686228622</v>
      </c>
      <c r="E61" s="62"/>
      <c r="F61" s="62"/>
      <c r="G61" s="62"/>
      <c r="H61" s="62">
        <f>M20*C61/$E$59</f>
        <v>0.1604274610733169</v>
      </c>
    </row>
    <row r="62" spans="2:15" x14ac:dyDescent="0.25">
      <c r="B62" s="62" t="s">
        <v>96</v>
      </c>
      <c r="C62" s="62">
        <f>SUMPRODUCT(N48:N53,F37:F42)/N55</f>
        <v>137.32995928650598</v>
      </c>
      <c r="E62" s="62"/>
      <c r="F62" s="62"/>
      <c r="G62" s="62"/>
      <c r="H62" s="62">
        <f>M21*C62/$E$59</f>
        <v>0.13819125761237205</v>
      </c>
    </row>
    <row r="63" spans="2:15" x14ac:dyDescent="0.25">
      <c r="B63" s="62" t="s">
        <v>77</v>
      </c>
      <c r="C63" s="62">
        <f>SUMPRODUCT(O48:O53,G37:G42)/O55</f>
        <v>234.86436895073334</v>
      </c>
      <c r="E63" s="62"/>
      <c r="F63" s="62"/>
      <c r="G63" s="62"/>
      <c r="H63" s="62">
        <f>M22*C63/$E$59</f>
        <v>0.64960386514280377</v>
      </c>
    </row>
    <row r="65" spans="2:16" x14ac:dyDescent="0.25">
      <c r="B65" s="68" t="s">
        <v>124</v>
      </c>
      <c r="C65" s="68"/>
      <c r="D65" s="68"/>
      <c r="E65" s="68"/>
      <c r="F65" s="68"/>
      <c r="G65" s="68"/>
      <c r="J65" s="68" t="s">
        <v>125</v>
      </c>
      <c r="K65" s="68"/>
      <c r="L65" s="68"/>
      <c r="M65" s="68"/>
      <c r="N65" s="68" t="s">
        <v>126</v>
      </c>
      <c r="O65" s="68"/>
    </row>
    <row r="66" spans="2:16" x14ac:dyDescent="0.25">
      <c r="J66" s="71" t="s">
        <v>127</v>
      </c>
    </row>
    <row r="67" spans="2:16" x14ac:dyDescent="0.25">
      <c r="B67" s="69" t="s">
        <v>26</v>
      </c>
      <c r="C67" s="69" t="s">
        <v>128</v>
      </c>
      <c r="D67" s="69" t="s">
        <v>129</v>
      </c>
      <c r="E67" s="69" t="s">
        <v>130</v>
      </c>
      <c r="F67" s="69" t="s">
        <v>131</v>
      </c>
      <c r="J67" s="72" t="s">
        <v>132</v>
      </c>
      <c r="K67" s="69" t="s">
        <v>133</v>
      </c>
      <c r="L67" s="69" t="s">
        <v>134</v>
      </c>
      <c r="N67" s="69" t="s">
        <v>135</v>
      </c>
      <c r="O67" s="69" t="s">
        <v>136</v>
      </c>
    </row>
    <row r="68" spans="2:16" x14ac:dyDescent="0.25">
      <c r="B68" s="62" t="s">
        <v>70</v>
      </c>
      <c r="C68" s="62">
        <f>H47</f>
        <v>0.10893395256094261</v>
      </c>
      <c r="D68" s="62">
        <f>E29</f>
        <v>339.00639036674801</v>
      </c>
      <c r="E68" s="62">
        <f>C68*$D$68</f>
        <v>36.929306046067722</v>
      </c>
      <c r="F68" s="62">
        <f>IFERROR(E68/E18,0)</f>
        <v>1.4411436505782527E-2</v>
      </c>
      <c r="G68" s="62"/>
      <c r="J68" s="62" t="s">
        <v>137</v>
      </c>
      <c r="K68" s="62">
        <f t="shared" ref="K68:K73" si="7">IF(J68="yes",F68*0,F68)</f>
        <v>1.4411436505782527E-2</v>
      </c>
      <c r="L68" s="62">
        <f>K68*E18</f>
        <v>36.929306046067722</v>
      </c>
      <c r="M68" s="62"/>
      <c r="N68" s="62">
        <f t="shared" ref="N68:N73" si="8">K68*$E$75/$L$75</f>
        <v>1.799444150372467E-2</v>
      </c>
      <c r="O68" s="62">
        <f>N68*E18</f>
        <v>46.110756353294462</v>
      </c>
      <c r="P68" s="62"/>
    </row>
    <row r="69" spans="2:16" x14ac:dyDescent="0.25">
      <c r="B69" s="62" t="s">
        <v>73</v>
      </c>
      <c r="C69" s="62">
        <f>H48</f>
        <v>2.6930169997833934E-2</v>
      </c>
      <c r="D69" s="62"/>
      <c r="E69" s="62">
        <f t="shared" ref="E69:E73" si="9">C69*$D$68</f>
        <v>9.1294997229285766</v>
      </c>
      <c r="F69" s="62">
        <f t="shared" ref="F69:F73" si="10">IFERROR(E69/E19,0)</f>
        <v>1.0286760251187127E-2</v>
      </c>
      <c r="G69" s="62"/>
      <c r="J69" s="62" t="s">
        <v>137</v>
      </c>
      <c r="K69" s="62">
        <f t="shared" si="7"/>
        <v>1.0286760251187127E-2</v>
      </c>
      <c r="L69" s="62">
        <f>K69*E19</f>
        <v>9.1294997229285766</v>
      </c>
      <c r="M69" s="62"/>
      <c r="N69" s="62">
        <f t="shared" si="8"/>
        <v>1.2844278606685355E-2</v>
      </c>
      <c r="O69" s="62">
        <f>N69*E19</f>
        <v>11.399297263433255</v>
      </c>
      <c r="P69" s="62"/>
    </row>
    <row r="70" spans="2:16" x14ac:dyDescent="0.25">
      <c r="B70" s="62" t="s">
        <v>68</v>
      </c>
      <c r="C70" s="62">
        <f>H49</f>
        <v>6.3391853295708095E-2</v>
      </c>
      <c r="D70" s="62"/>
      <c r="E70" s="62">
        <f t="shared" si="9"/>
        <v>21.490243364436438</v>
      </c>
      <c r="F70" s="62">
        <f t="shared" si="10"/>
        <v>1.3537161174448149E-2</v>
      </c>
      <c r="G70" s="62"/>
      <c r="J70" s="62" t="s">
        <v>137</v>
      </c>
      <c r="K70" s="62">
        <f t="shared" si="7"/>
        <v>1.3537161174448149E-2</v>
      </c>
      <c r="L70" s="62">
        <f>K70*E20</f>
        <v>21.490243364436438</v>
      </c>
      <c r="M70" s="62"/>
      <c r="N70" s="62">
        <f t="shared" si="8"/>
        <v>1.6902801797888719E-2</v>
      </c>
      <c r="O70" s="62">
        <f>N70*E20</f>
        <v>26.833197854148342</v>
      </c>
      <c r="P70" s="62"/>
    </row>
    <row r="71" spans="2:16" x14ac:dyDescent="0.25">
      <c r="B71" s="62" t="s">
        <v>96</v>
      </c>
      <c r="C71" s="62">
        <f>H50</f>
        <v>0.19911732171295773</v>
      </c>
      <c r="D71" s="62"/>
      <c r="E71" s="62">
        <f t="shared" si="9"/>
        <v>67.502044493404298</v>
      </c>
      <c r="F71" s="62">
        <f t="shared" si="10"/>
        <v>9.6431492133434715E-3</v>
      </c>
      <c r="G71" s="62"/>
      <c r="J71" s="62" t="s">
        <v>138</v>
      </c>
      <c r="K71" s="62">
        <f t="shared" si="7"/>
        <v>0</v>
      </c>
      <c r="L71" s="62">
        <f>K71*E21</f>
        <v>0</v>
      </c>
      <c r="M71" s="62"/>
      <c r="N71" s="62">
        <f t="shared" si="8"/>
        <v>0</v>
      </c>
      <c r="O71" s="62">
        <f>N71*E21</f>
        <v>0</v>
      </c>
      <c r="P71" s="62"/>
    </row>
    <row r="72" spans="2:16" x14ac:dyDescent="0.25">
      <c r="B72" s="62" t="s">
        <v>79</v>
      </c>
      <c r="C72" s="62">
        <f t="shared" ref="C72:C73" si="11">H51</f>
        <v>0.60162670243255767</v>
      </c>
      <c r="D72" s="62"/>
      <c r="E72" s="62">
        <f t="shared" si="9"/>
        <v>203.95529673991098</v>
      </c>
      <c r="F72" s="62">
        <f t="shared" si="10"/>
        <v>1.8550636268316642E-2</v>
      </c>
      <c r="G72" s="62"/>
      <c r="J72" s="62" t="s">
        <v>137</v>
      </c>
      <c r="K72" s="62">
        <f t="shared" si="7"/>
        <v>1.8550636268316642E-2</v>
      </c>
      <c r="L72" s="62">
        <f t="shared" ref="L72:L73" si="12">K72*E22</f>
        <v>203.95529673991101</v>
      </c>
      <c r="M72" s="62"/>
      <c r="N72" s="62">
        <f t="shared" si="8"/>
        <v>2.3162738777162011E-2</v>
      </c>
      <c r="O72" s="62">
        <f>N72*E22</f>
        <v>254.66313889587195</v>
      </c>
      <c r="P72" s="62"/>
    </row>
    <row r="73" spans="2:16" x14ac:dyDescent="0.25">
      <c r="B73" s="62" t="s">
        <v>77</v>
      </c>
      <c r="C73" s="62">
        <f t="shared" si="11"/>
        <v>0</v>
      </c>
      <c r="D73" s="62"/>
      <c r="E73" s="62">
        <f t="shared" si="9"/>
        <v>0</v>
      </c>
      <c r="F73" s="62">
        <f t="shared" si="10"/>
        <v>0</v>
      </c>
      <c r="G73" s="62"/>
      <c r="J73" s="62" t="s">
        <v>137</v>
      </c>
      <c r="K73" s="62">
        <f t="shared" si="7"/>
        <v>0</v>
      </c>
      <c r="L73" s="62">
        <f t="shared" si="12"/>
        <v>0</v>
      </c>
      <c r="M73" s="62"/>
      <c r="N73" s="62">
        <f t="shared" si="8"/>
        <v>0</v>
      </c>
      <c r="O73" s="62">
        <f t="shared" ref="O73" si="13">N73*E23</f>
        <v>0</v>
      </c>
      <c r="P73" s="62"/>
    </row>
    <row r="74" spans="2:16" x14ac:dyDescent="0.25">
      <c r="B74" s="62"/>
      <c r="C74" s="62"/>
      <c r="D74" s="62"/>
      <c r="E74" s="62"/>
      <c r="F74" s="62"/>
      <c r="G74" s="62"/>
      <c r="J74" s="62"/>
      <c r="K74" s="62"/>
      <c r="L74" s="62"/>
      <c r="M74" s="62"/>
      <c r="N74" s="62"/>
      <c r="O74" s="62"/>
      <c r="P74" s="62"/>
    </row>
    <row r="75" spans="2:16" x14ac:dyDescent="0.25">
      <c r="E75" s="73">
        <f>SUM(E68:E73)</f>
        <v>339.00639036674801</v>
      </c>
      <c r="L75" s="73">
        <f>SUM(L68:L73)</f>
        <v>271.50434587334371</v>
      </c>
      <c r="O75" s="73">
        <f>SUM(O68:O73)</f>
        <v>339.00639036674801</v>
      </c>
    </row>
    <row r="78" spans="2:16" x14ac:dyDescent="0.25">
      <c r="B78" s="68" t="s">
        <v>139</v>
      </c>
      <c r="C78" s="68"/>
      <c r="D78" s="68"/>
      <c r="E78" s="68"/>
      <c r="F78" s="68"/>
      <c r="G78" s="68"/>
      <c r="J78" s="68" t="s">
        <v>140</v>
      </c>
      <c r="K78" s="68"/>
      <c r="L78" s="68"/>
      <c r="M78" s="68"/>
      <c r="N78" s="68" t="s">
        <v>141</v>
      </c>
      <c r="O78" s="68"/>
    </row>
    <row r="79" spans="2:16" x14ac:dyDescent="0.25">
      <c r="J79" s="71" t="s">
        <v>142</v>
      </c>
    </row>
    <row r="80" spans="2:16" x14ac:dyDescent="0.25">
      <c r="B80" s="69" t="s">
        <v>8</v>
      </c>
      <c r="C80" s="69" t="s">
        <v>143</v>
      </c>
      <c r="D80" s="69" t="s">
        <v>144</v>
      </c>
      <c r="E80" s="69" t="s">
        <v>145</v>
      </c>
      <c r="F80" s="69" t="s">
        <v>146</v>
      </c>
      <c r="J80" s="72" t="s">
        <v>132</v>
      </c>
      <c r="K80" s="69" t="s">
        <v>147</v>
      </c>
      <c r="L80" s="69" t="s">
        <v>148</v>
      </c>
      <c r="N80" s="69" t="s">
        <v>149</v>
      </c>
      <c r="O80" s="69" t="s">
        <v>150</v>
      </c>
    </row>
    <row r="81" spans="1:16" x14ac:dyDescent="0.25">
      <c r="B81" s="62" t="s">
        <v>68</v>
      </c>
      <c r="C81" s="62">
        <f>H59</f>
        <v>5.177734744516295E-2</v>
      </c>
      <c r="D81" s="62">
        <f>E30</f>
        <v>339.00639036674801</v>
      </c>
      <c r="E81" s="62">
        <f>C81*$D$81</f>
        <v>17.552851660149653</v>
      </c>
      <c r="F81" s="62">
        <f>E81/M18</f>
        <v>1.4627376383458044E-2</v>
      </c>
      <c r="G81" s="62"/>
      <c r="J81" s="62" t="s">
        <v>137</v>
      </c>
      <c r="K81" s="62">
        <f>IF(J81="yes",F81*0,F81)</f>
        <v>1.4627376383458044E-2</v>
      </c>
      <c r="L81" s="62">
        <f>K81*M18</f>
        <v>17.552851660149653</v>
      </c>
      <c r="M81" s="62"/>
      <c r="N81" s="62">
        <f>K81*$E$87/$L$87</f>
        <v>1.697288001852142E-2</v>
      </c>
      <c r="O81" s="62">
        <f>N81*M18</f>
        <v>20.367456022225703</v>
      </c>
      <c r="P81" s="62"/>
    </row>
    <row r="82" spans="1:16" x14ac:dyDescent="0.25">
      <c r="B82" s="62" t="s">
        <v>66</v>
      </c>
      <c r="C82" s="62">
        <f>H60</f>
        <v>6.8726344255589406E-8</v>
      </c>
      <c r="D82" s="62"/>
      <c r="E82" s="62">
        <f>C82*$D$81</f>
        <v>2.3298669889189851E-5</v>
      </c>
      <c r="F82" s="62">
        <f>E82/M19</f>
        <v>2.3298669889189851E-2</v>
      </c>
      <c r="G82" s="62"/>
      <c r="J82" s="62" t="s">
        <v>137</v>
      </c>
      <c r="K82" s="62">
        <f>IF(J82="yes",F82*0,F82)</f>
        <v>2.3298669889189851E-2</v>
      </c>
      <c r="L82" s="62">
        <f>K82*M19</f>
        <v>2.3298669889189851E-5</v>
      </c>
      <c r="M82" s="62"/>
      <c r="N82" s="62">
        <f>K82*$E$87/$L$87</f>
        <v>2.703461770954103E-2</v>
      </c>
      <c r="O82" s="62">
        <f>N82*M19</f>
        <v>2.7034617709541031E-5</v>
      </c>
      <c r="P82" s="62"/>
    </row>
    <row r="83" spans="1:16" x14ac:dyDescent="0.25">
      <c r="B83" s="62" t="s">
        <v>64</v>
      </c>
      <c r="C83" s="62">
        <f>H61</f>
        <v>0.1604274610733169</v>
      </c>
      <c r="D83" s="62"/>
      <c r="E83" s="62">
        <f>C83*$D$81</f>
        <v>54.385934494167138</v>
      </c>
      <c r="F83" s="62">
        <f>E83/M20</f>
        <v>1.6015489912392777E-2</v>
      </c>
      <c r="G83" s="62"/>
      <c r="J83" s="62" t="s">
        <v>137</v>
      </c>
      <c r="K83" s="62">
        <f>IF(J83="yes",F83*0,F83)</f>
        <v>1.6015489912392777E-2</v>
      </c>
      <c r="L83" s="62">
        <f>K83*M20</f>
        <v>54.385934494167138</v>
      </c>
      <c r="M83" s="62"/>
      <c r="N83" s="62">
        <f>K83*$E$87/$L$87</f>
        <v>1.858357791546893E-2</v>
      </c>
      <c r="O83" s="62">
        <f>N83*M20</f>
        <v>63.106733337946579</v>
      </c>
      <c r="P83" s="62"/>
    </row>
    <row r="84" spans="1:16" x14ac:dyDescent="0.25">
      <c r="B84" s="62" t="s">
        <v>96</v>
      </c>
      <c r="C84" s="62">
        <f>H62</f>
        <v>0.13819125761237205</v>
      </c>
      <c r="D84" s="62"/>
      <c r="E84" s="62">
        <f>C84*$D$81</f>
        <v>46.84771942341164</v>
      </c>
      <c r="F84" s="62">
        <f>E84/M21</f>
        <v>1.1711929855852911E-2</v>
      </c>
      <c r="G84" s="62"/>
      <c r="J84" s="62" t="s">
        <v>138</v>
      </c>
      <c r="K84" s="62">
        <f>IF(J84="yes",F84*0,F84)</f>
        <v>0</v>
      </c>
      <c r="L84" s="62">
        <f>K84*M21</f>
        <v>0</v>
      </c>
      <c r="M84" s="62"/>
      <c r="N84" s="62">
        <f>K84*$E$87/$L$87</f>
        <v>0</v>
      </c>
      <c r="O84" s="62">
        <f>N84*M21</f>
        <v>0</v>
      </c>
      <c r="P84" s="62"/>
    </row>
    <row r="85" spans="1:16" x14ac:dyDescent="0.25">
      <c r="B85" s="62" t="s">
        <v>77</v>
      </c>
      <c r="C85" s="62">
        <f>H63</f>
        <v>0.64960386514280377</v>
      </c>
      <c r="D85" s="62"/>
      <c r="E85" s="62">
        <f>C85*$D$81</f>
        <v>220.21986149034967</v>
      </c>
      <c r="F85" s="62">
        <f>E85/M22</f>
        <v>2.0029970365398862E-2</v>
      </c>
      <c r="G85" s="62"/>
      <c r="J85" s="62" t="s">
        <v>137</v>
      </c>
      <c r="K85" s="62">
        <f>IF(J85="yes",F85*0,F85)</f>
        <v>2.0029970365398862E-2</v>
      </c>
      <c r="L85" s="62">
        <f>K85*M22</f>
        <v>220.21986149034967</v>
      </c>
      <c r="M85" s="62"/>
      <c r="N85" s="62">
        <f>K85*$E$87/$L$87</f>
        <v>2.3241781360799536E-2</v>
      </c>
      <c r="O85" s="62">
        <f>N85*M22</f>
        <v>255.53217397195797</v>
      </c>
      <c r="P85" s="62"/>
    </row>
    <row r="86" spans="1:16" x14ac:dyDescent="0.25">
      <c r="B86" s="62"/>
      <c r="C86" s="62"/>
      <c r="D86" s="62"/>
      <c r="E86" s="62"/>
      <c r="F86" s="62"/>
      <c r="G86" s="62"/>
      <c r="J86" s="62"/>
      <c r="K86" s="62"/>
      <c r="L86" s="62"/>
      <c r="M86" s="62"/>
      <c r="N86" s="62"/>
      <c r="O86" s="62"/>
      <c r="P86" s="62"/>
    </row>
    <row r="87" spans="1:16" x14ac:dyDescent="0.25">
      <c r="E87" s="73">
        <f>SUM(E81:E85)</f>
        <v>339.00639036674795</v>
      </c>
      <c r="L87" s="73">
        <f>SUM(L81:L85)</f>
        <v>292.15867094333635</v>
      </c>
      <c r="O87" s="73">
        <f>SUM(O81:O85)</f>
        <v>339.00639036674795</v>
      </c>
    </row>
    <row r="89" spans="1:16" ht="18.75" x14ac:dyDescent="0.3">
      <c r="A89" s="58" t="s">
        <v>151</v>
      </c>
    </row>
    <row r="91" spans="1:16" x14ac:dyDescent="0.25">
      <c r="B91" s="68" t="s">
        <v>152</v>
      </c>
      <c r="J91" s="68" t="s">
        <v>153</v>
      </c>
    </row>
    <row r="92" spans="1:16" x14ac:dyDescent="0.25">
      <c r="B92" s="69" t="s">
        <v>154</v>
      </c>
      <c r="C92" s="69" t="s">
        <v>155</v>
      </c>
      <c r="D92" s="69" t="s">
        <v>156</v>
      </c>
      <c r="E92" s="69" t="s">
        <v>156</v>
      </c>
      <c r="F92" s="69" t="s">
        <v>155</v>
      </c>
      <c r="G92" s="69" t="s">
        <v>156</v>
      </c>
      <c r="J92" s="75" t="s">
        <v>157</v>
      </c>
      <c r="K92" s="75"/>
      <c r="L92" s="75"/>
    </row>
    <row r="93" spans="1:16" x14ac:dyDescent="0.25">
      <c r="B93" s="62"/>
      <c r="C93" s="62" t="s">
        <v>64</v>
      </c>
      <c r="D93" s="62" t="s">
        <v>68</v>
      </c>
      <c r="E93" s="62" t="s">
        <v>66</v>
      </c>
      <c r="F93" s="62" t="s">
        <v>96</v>
      </c>
      <c r="G93" s="62" t="s">
        <v>77</v>
      </c>
      <c r="J93" s="74"/>
      <c r="K93" s="69" t="s">
        <v>158</v>
      </c>
      <c r="L93" s="69" t="s">
        <v>159</v>
      </c>
    </row>
    <row r="94" spans="1:16" x14ac:dyDescent="0.25">
      <c r="B94" s="69" t="s">
        <v>160</v>
      </c>
      <c r="C94" s="62">
        <f>M20</f>
        <v>3395.8333333333335</v>
      </c>
      <c r="D94" s="62">
        <f>M18</f>
        <v>1200</v>
      </c>
      <c r="E94" s="62">
        <f>M19</f>
        <v>1E-3</v>
      </c>
      <c r="F94" s="62">
        <f>M21</f>
        <v>4000</v>
      </c>
      <c r="G94" s="74">
        <f>M22</f>
        <v>10994.517589041096</v>
      </c>
      <c r="J94" s="76" t="s">
        <v>70</v>
      </c>
      <c r="K94" s="62">
        <f>(K39*E37+K40*F37)/SUM(K39,K40)</f>
        <v>140.13408450704225</v>
      </c>
      <c r="L94" s="62">
        <f>(K37*C37+K38*D37+K41*G37)/SUM(K37,K38,K41)</f>
        <v>233.82866889878639</v>
      </c>
    </row>
    <row r="95" spans="1:16" x14ac:dyDescent="0.25">
      <c r="B95" s="69" t="s">
        <v>161</v>
      </c>
      <c r="C95" s="62">
        <f>C94*C61</f>
        <v>637710.28871984698</v>
      </c>
      <c r="D95" s="62">
        <f>D94*C59</f>
        <v>205818.54856702319</v>
      </c>
      <c r="E95" s="62">
        <f>E94*C60</f>
        <v>0.27319198686228618</v>
      </c>
      <c r="F95" s="62">
        <f>F94*C62</f>
        <v>549319.83714602399</v>
      </c>
      <c r="G95" s="74">
        <f>G94*C63</f>
        <v>2582220.4354678751</v>
      </c>
      <c r="J95" s="76" t="s">
        <v>73</v>
      </c>
      <c r="K95" s="62">
        <f>(L39*E38+L40*F38)/SUM(L39,L40)</f>
        <v>83.334084507042249</v>
      </c>
      <c r="L95" s="62">
        <f>(L37*C38+L38*D38+L41*G38)/SUM(L37,L38,L41)</f>
        <v>177.02866889878638</v>
      </c>
    </row>
    <row r="96" spans="1:16" x14ac:dyDescent="0.25">
      <c r="J96" s="76" t="s">
        <v>68</v>
      </c>
      <c r="K96" s="62">
        <f>(M39*E39+M40*F39)/SUM(M39,M40)</f>
        <v>176.33408450704223</v>
      </c>
      <c r="L96" s="62">
        <f>(M37*C39+M38*D39+M41*G39)/SUM(M37,M38,M41)</f>
        <v>193.20001076900266</v>
      </c>
    </row>
    <row r="97" spans="2:12" x14ac:dyDescent="0.25">
      <c r="C97" s="62" t="s">
        <v>162</v>
      </c>
      <c r="J97" s="76" t="s">
        <v>96</v>
      </c>
      <c r="K97" s="62">
        <f>(N39*E40+N40*F40)/SUM(N39,N40)</f>
        <v>92.2</v>
      </c>
      <c r="L97" s="62">
        <f>(N37*C40+N38*D40+N41*G40)/SUM(N37,N38,N41)</f>
        <v>144.09786812805564</v>
      </c>
    </row>
    <row r="98" spans="2:12" x14ac:dyDescent="0.25">
      <c r="C98" s="62"/>
      <c r="J98" s="76" t="s">
        <v>79</v>
      </c>
      <c r="K98" s="62">
        <f>(O39*E41+O40*F41)/SUM(O39,O40)</f>
        <v>197.13408450704225</v>
      </c>
      <c r="L98" s="62">
        <f>(O37*C41+O38*D41+O41*G41)/SUM(O37,O38,O41)</f>
        <v>290.82866889878642</v>
      </c>
    </row>
    <row r="99" spans="2:12" x14ac:dyDescent="0.25">
      <c r="C99" s="62"/>
      <c r="J99" s="76" t="s">
        <v>77</v>
      </c>
      <c r="K99" s="62">
        <f>(P39*E42+P40*F42)/SUM(P39,P40)</f>
        <v>102.86591549295775</v>
      </c>
      <c r="L99" s="62">
        <f>(P37*C42+P38*D42+P41*G42)/SUM(P37,P38,P41)</f>
        <v>286.1998601667832</v>
      </c>
    </row>
    <row r="100" spans="2:12" x14ac:dyDescent="0.25">
      <c r="B100" s="68" t="s">
        <v>163</v>
      </c>
      <c r="J100" s="68" t="s">
        <v>164</v>
      </c>
      <c r="K100" s="62"/>
      <c r="L100" s="62"/>
    </row>
    <row r="101" spans="2:12" ht="34.5" x14ac:dyDescent="0.25">
      <c r="C101" s="76" t="s">
        <v>165</v>
      </c>
      <c r="D101" s="76" t="s">
        <v>166</v>
      </c>
      <c r="E101" s="76" t="s">
        <v>167</v>
      </c>
      <c r="F101" s="76" t="s">
        <v>168</v>
      </c>
      <c r="G101" s="76" t="s">
        <v>169</v>
      </c>
      <c r="J101" s="76" t="s">
        <v>170</v>
      </c>
      <c r="K101" s="62">
        <f>SUMPRODUCT(C102:C107,N68:N73)</f>
        <v>179.49012556755105</v>
      </c>
      <c r="L101" s="62"/>
    </row>
    <row r="102" spans="2:12" ht="23.25" x14ac:dyDescent="0.25">
      <c r="B102" s="76" t="s">
        <v>70</v>
      </c>
      <c r="C102" s="62">
        <f t="shared" ref="C102:C107" si="14">SUM($D$94,$E$94,$G$94)/SUM($E$18:$E$23)*E18</f>
        <v>1356.739754283888</v>
      </c>
      <c r="D102" s="62" t="s">
        <v>171</v>
      </c>
      <c r="E102" s="62">
        <f>E18-C102</f>
        <v>1205.760245716112</v>
      </c>
      <c r="F102" s="62">
        <f>C102*L94</f>
        <v>317244.65078626806</v>
      </c>
      <c r="G102" s="62">
        <f>E102*K94</f>
        <v>168968.10816841366</v>
      </c>
      <c r="J102" s="76" t="s">
        <v>172</v>
      </c>
      <c r="K102" s="62">
        <f>E29-K101</f>
        <v>159.51626479919696</v>
      </c>
      <c r="L102" s="62"/>
    </row>
    <row r="103" spans="2:12" ht="23.25" x14ac:dyDescent="0.25">
      <c r="B103" s="76" t="s">
        <v>73</v>
      </c>
      <c r="C103" s="62">
        <f t="shared" si="14"/>
        <v>469.89523197149299</v>
      </c>
      <c r="D103" s="62" t="s">
        <v>171</v>
      </c>
      <c r="E103" s="62">
        <f>E19-C103</f>
        <v>417.60476802850712</v>
      </c>
      <c r="F103" s="62">
        <f>C103*L95</f>
        <v>83184.927437799852</v>
      </c>
      <c r="G103" s="62">
        <f>E103*K95</f>
        <v>34800.71102943139</v>
      </c>
      <c r="J103" s="76" t="s">
        <v>173</v>
      </c>
      <c r="K103" s="62">
        <f>D94*N81+E94*N82+G94*N85</f>
        <v>275.89965702880136</v>
      </c>
      <c r="L103" s="62"/>
    </row>
    <row r="104" spans="2:12" ht="23.25" x14ac:dyDescent="0.25">
      <c r="B104" s="76" t="s">
        <v>68</v>
      </c>
      <c r="C104" s="62">
        <f t="shared" si="14"/>
        <v>840.51682338562819</v>
      </c>
      <c r="D104" s="62" t="s">
        <v>171</v>
      </c>
      <c r="E104" s="62">
        <f>E20-C104</f>
        <v>746.98317661437181</v>
      </c>
      <c r="F104" s="62">
        <f>C104*L96</f>
        <v>162387.85932963126</v>
      </c>
      <c r="G104" s="62">
        <f>E104*K96</f>
        <v>131718.59459045751</v>
      </c>
      <c r="J104" s="76" t="s">
        <v>174</v>
      </c>
      <c r="K104" s="62">
        <f>E30-K103</f>
        <v>63.10673333794665</v>
      </c>
      <c r="L104" s="62"/>
    </row>
    <row r="105" spans="2:12" ht="21" customHeight="1" x14ac:dyDescent="0.25">
      <c r="B105" s="76" t="s">
        <v>96</v>
      </c>
      <c r="C105" s="62">
        <f>SUM($D$94,$E$94,$G$94)/SUM($E$18:$E$23)*E21</f>
        <v>3706.2159141413526</v>
      </c>
      <c r="D105" s="62" t="s">
        <v>171</v>
      </c>
      <c r="E105" s="62">
        <f>E21-C105</f>
        <v>3293.7840858586474</v>
      </c>
      <c r="F105" s="62">
        <f>C105*L97</f>
        <v>534057.81205004186</v>
      </c>
      <c r="G105" s="62">
        <f>E105*K97</f>
        <v>303686.89271616732</v>
      </c>
      <c r="H105" s="69"/>
      <c r="J105" s="235" t="s">
        <v>175</v>
      </c>
      <c r="K105" s="62">
        <f>K102+K104</f>
        <v>222.62299813714361</v>
      </c>
      <c r="L105" s="62"/>
    </row>
    <row r="106" spans="2:12" x14ac:dyDescent="0.25">
      <c r="B106" s="76" t="s">
        <v>79</v>
      </c>
      <c r="C106" s="62">
        <f t="shared" si="14"/>
        <v>5821.1508652587327</v>
      </c>
      <c r="D106" s="62"/>
      <c r="E106" s="62">
        <f t="shared" ref="E106:E107" si="15">E22-C106</f>
        <v>5173.3667237823629</v>
      </c>
      <c r="F106" s="62">
        <f>C106*L98</f>
        <v>1692957.557602216</v>
      </c>
      <c r="G106" s="62">
        <f t="shared" ref="G106:G107" si="16">E106*K98</f>
        <v>1019846.9129120326</v>
      </c>
      <c r="H106" s="69"/>
      <c r="J106" s="76"/>
      <c r="K106" s="62"/>
      <c r="L106" s="62"/>
    </row>
    <row r="107" spans="2:12" x14ac:dyDescent="0.25">
      <c r="B107" s="76" t="s">
        <v>77</v>
      </c>
      <c r="C107" s="62">
        <f t="shared" si="14"/>
        <v>0</v>
      </c>
      <c r="D107" s="62"/>
      <c r="E107" s="62">
        <f t="shared" si="15"/>
        <v>0</v>
      </c>
      <c r="F107" s="62">
        <f t="shared" ref="F107" si="17">C107*L99</f>
        <v>0</v>
      </c>
      <c r="G107" s="62">
        <f t="shared" si="16"/>
        <v>0</v>
      </c>
      <c r="H107" s="69"/>
      <c r="J107" s="76"/>
      <c r="K107" s="62"/>
      <c r="L107" s="62"/>
    </row>
    <row r="108" spans="2:12" x14ac:dyDescent="0.25">
      <c r="B108" s="76"/>
      <c r="C108" s="62"/>
      <c r="D108" s="62"/>
      <c r="E108" s="62"/>
      <c r="F108" s="62"/>
      <c r="G108" s="62"/>
      <c r="J108" s="235" t="s">
        <v>176</v>
      </c>
      <c r="K108" s="62">
        <f>K101+K103</f>
        <v>455.3897825963524</v>
      </c>
      <c r="L108" s="62"/>
    </row>
    <row r="109" spans="2:12" x14ac:dyDescent="0.25">
      <c r="B109" s="76" t="s">
        <v>177</v>
      </c>
      <c r="C109" s="62">
        <f>SUM(C102:C107)</f>
        <v>12194.518589041094</v>
      </c>
      <c r="D109" s="62"/>
      <c r="E109" s="62">
        <f>SUM(E102:E107)</f>
        <v>10837.499000000002</v>
      </c>
      <c r="F109" s="62">
        <f>SUM(F102:F107)</f>
        <v>2789832.8072059569</v>
      </c>
      <c r="G109" s="62">
        <f>SUM(G102:G107)</f>
        <v>1659021.2194165024</v>
      </c>
    </row>
    <row r="110" spans="2:12" x14ac:dyDescent="0.25">
      <c r="B110" s="76"/>
      <c r="C110" s="62"/>
      <c r="D110" s="62"/>
      <c r="E110" s="62"/>
      <c r="F110" s="62"/>
      <c r="G110" s="62"/>
    </row>
    <row r="111" spans="2:12" x14ac:dyDescent="0.25">
      <c r="B111" s="76" t="s">
        <v>178</v>
      </c>
      <c r="C111" s="62">
        <f>SUM(D94,E94,G94)</f>
        <v>12194.518589041096</v>
      </c>
      <c r="D111" s="62"/>
      <c r="E111" s="62"/>
      <c r="F111" s="62"/>
      <c r="G111" s="62"/>
    </row>
    <row r="112" spans="2:12" x14ac:dyDescent="0.25">
      <c r="B112" s="76"/>
    </row>
    <row r="113" spans="2:12" x14ac:dyDescent="0.25">
      <c r="B113" s="76"/>
    </row>
    <row r="114" spans="2:12" x14ac:dyDescent="0.25">
      <c r="B114" s="68" t="s">
        <v>179</v>
      </c>
      <c r="J114" s="68" t="s">
        <v>180</v>
      </c>
    </row>
    <row r="115" spans="2:12" ht="29.25" customHeight="1" x14ac:dyDescent="0.25">
      <c r="B115" s="76" t="s">
        <v>169</v>
      </c>
      <c r="C115" s="78"/>
      <c r="D115" s="62">
        <f>G109</f>
        <v>1659021.2194165024</v>
      </c>
      <c r="E115" s="62"/>
      <c r="J115" s="79" t="s">
        <v>181</v>
      </c>
      <c r="K115" s="80"/>
      <c r="L115" s="81"/>
    </row>
    <row r="116" spans="2:12" ht="27" customHeight="1" x14ac:dyDescent="0.25">
      <c r="B116" s="76" t="s">
        <v>182</v>
      </c>
      <c r="C116" s="78"/>
      <c r="D116" s="62">
        <f>C95+F95</f>
        <v>1187030.1258658711</v>
      </c>
      <c r="E116" s="62"/>
      <c r="J116" s="82" t="s">
        <v>183</v>
      </c>
      <c r="K116" s="83">
        <f>K105*10^6/D117</f>
        <v>78.221708299874635</v>
      </c>
      <c r="L116" s="84" t="s">
        <v>184</v>
      </c>
    </row>
    <row r="117" spans="2:12" ht="31.5" customHeight="1" x14ac:dyDescent="0.25">
      <c r="B117" s="77" t="s">
        <v>185</v>
      </c>
      <c r="C117" s="78"/>
      <c r="D117" s="62">
        <f>SUM(D115:D116)</f>
        <v>2846051.3452823735</v>
      </c>
      <c r="E117" s="62"/>
      <c r="J117" s="82" t="s">
        <v>186</v>
      </c>
      <c r="K117" s="83">
        <f>K108*10^6/D120</f>
        <v>81.642206442871569</v>
      </c>
      <c r="L117" s="84" t="s">
        <v>187</v>
      </c>
    </row>
    <row r="118" spans="2:12" ht="28.5" customHeight="1" x14ac:dyDescent="0.25">
      <c r="B118" s="76" t="s">
        <v>188</v>
      </c>
      <c r="C118" s="78"/>
      <c r="D118" s="62">
        <f>F109</f>
        <v>2789832.8072059569</v>
      </c>
      <c r="E118" s="62"/>
      <c r="J118" s="82" t="s">
        <v>189</v>
      </c>
      <c r="K118" s="85">
        <f>2*(ABS(K116-K117))/(K116+K117)</f>
        <v>4.2792623319668058E-2</v>
      </c>
      <c r="L118" s="84" t="s">
        <v>190</v>
      </c>
    </row>
    <row r="119" spans="2:12" ht="34.5" customHeight="1" x14ac:dyDescent="0.25">
      <c r="B119" s="76" t="s">
        <v>191</v>
      </c>
      <c r="C119" s="78"/>
      <c r="D119" s="62">
        <f>SUM(D95,E95,G95)</f>
        <v>2788039.2572268853</v>
      </c>
      <c r="E119" s="62"/>
    </row>
    <row r="120" spans="2:12" ht="30" customHeight="1" x14ac:dyDescent="0.25">
      <c r="B120" s="77" t="s">
        <v>192</v>
      </c>
      <c r="C120" s="78"/>
      <c r="D120" s="62">
        <f>SUM(D118:D119)</f>
        <v>5577872.0644328427</v>
      </c>
      <c r="E120" s="62"/>
    </row>
    <row r="121" spans="2:12" x14ac:dyDescent="0.25">
      <c r="D121" s="62"/>
      <c r="E121" s="62"/>
    </row>
    <row r="122" spans="2:12" x14ac:dyDescent="0.25">
      <c r="D122" s="62"/>
      <c r="E122" s="62"/>
    </row>
  </sheetData>
  <conditionalFormatting sqref="K118">
    <cfRule type="cellIs" dxfId="7" priority="1" operator="lessThan">
      <formula>0.1</formula>
    </cfRule>
    <cfRule type="cellIs" dxfId="6" priority="2" operator="greaterThan">
      <formula>0.1</formula>
    </cfRule>
  </conditionalFormatting>
  <dataValidations count="1">
    <dataValidation type="list" allowBlank="1" showInputMessage="1" showErrorMessage="1" sqref="F12" xr:uid="{00000000-0002-0000-2200-000000000000}">
      <formula1>"Nybro (P1),New entry point (BP1)"</formula1>
    </dataValidation>
  </dataValidations>
  <pageMargins left="0.7" right="0.7" top="0.75" bottom="0.75" header="0.3" footer="0.3"/>
  <pageSetup paperSize="9" orientation="portrait" horizontalDpi="1200" verticalDpi="1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FF0000"/>
  </sheetPr>
  <dimension ref="A1:R123"/>
  <sheetViews>
    <sheetView topLeftCell="A94" workbookViewId="0">
      <selection activeCell="A25" sqref="A25"/>
    </sheetView>
  </sheetViews>
  <sheetFormatPr defaultColWidth="9.140625" defaultRowHeight="15" x14ac:dyDescent="0.25"/>
  <cols>
    <col min="1" max="2" width="9.140625" style="53"/>
    <col min="3" max="3" width="9.42578125" style="53" bestFit="1" customWidth="1"/>
    <col min="4" max="6" width="10" style="53" bestFit="1" customWidth="1"/>
    <col min="7" max="7" width="10.5703125" style="53" bestFit="1" customWidth="1"/>
    <col min="8" max="9" width="9.140625" style="53"/>
    <col min="10" max="16" width="9.42578125" style="53" bestFit="1" customWidth="1"/>
    <col min="17"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Capacities'!G16*10^(-3)</f>
        <v>2562.5</v>
      </c>
      <c r="F18" s="61"/>
      <c r="G18" s="60"/>
      <c r="H18" s="60"/>
      <c r="I18" s="60"/>
      <c r="J18" s="61" t="s">
        <v>68</v>
      </c>
      <c r="K18" s="61">
        <v>56.8</v>
      </c>
      <c r="L18" s="61">
        <v>0</v>
      </c>
      <c r="M18" s="61">
        <f>'Forecasted Capacities'!G13*10^(-3)</f>
        <v>1200</v>
      </c>
      <c r="N18" s="64"/>
      <c r="R18" s="62"/>
    </row>
    <row r="19" spans="1:18" x14ac:dyDescent="0.25">
      <c r="B19" s="61" t="s">
        <v>73</v>
      </c>
      <c r="C19" s="61">
        <v>56.8</v>
      </c>
      <c r="D19" s="61">
        <v>93</v>
      </c>
      <c r="E19" s="61">
        <f>'Forecasted Capacities'!G18*10^(-3)</f>
        <v>887.50000000000011</v>
      </c>
      <c r="F19" s="61"/>
      <c r="G19" s="60"/>
      <c r="H19" s="60"/>
      <c r="I19" s="60"/>
      <c r="J19" s="61" t="s">
        <v>66</v>
      </c>
      <c r="K19" s="61">
        <v>275.39999999999998</v>
      </c>
      <c r="L19" s="61">
        <v>93</v>
      </c>
      <c r="M19" s="61">
        <f>'Forecasted Capacities'!G12*10^(-3)</f>
        <v>1E-3</v>
      </c>
      <c r="N19" s="61"/>
      <c r="R19" s="62"/>
    </row>
    <row r="20" spans="1:18" x14ac:dyDescent="0.25">
      <c r="B20" s="61" t="s">
        <v>68</v>
      </c>
      <c r="C20" s="61">
        <v>56.8</v>
      </c>
      <c r="D20" s="61">
        <v>0</v>
      </c>
      <c r="E20" s="61">
        <f>'Forecasted Capacities'!G17*10^(-3)</f>
        <v>1587.5</v>
      </c>
      <c r="F20" s="61"/>
      <c r="G20" s="60"/>
      <c r="H20" s="60"/>
      <c r="I20" s="60"/>
      <c r="J20" s="61" t="s">
        <v>64</v>
      </c>
      <c r="K20" s="61">
        <v>190</v>
      </c>
      <c r="L20" s="61">
        <v>93</v>
      </c>
      <c r="M20" s="61">
        <f>'Forecasted Capacities'!G11*10^(-3)</f>
        <v>3395.8333333333335</v>
      </c>
      <c r="N20" s="61"/>
      <c r="R20" s="62"/>
    </row>
    <row r="21" spans="1:18" x14ac:dyDescent="0.25">
      <c r="B21" s="61" t="s">
        <v>96</v>
      </c>
      <c r="C21" s="61">
        <v>97.8</v>
      </c>
      <c r="D21" s="61">
        <v>93</v>
      </c>
      <c r="E21" s="61">
        <f>'Forecasted Capacities'!G22*10^(-3)</f>
        <v>7000</v>
      </c>
      <c r="F21" s="61"/>
      <c r="G21" s="60"/>
      <c r="H21" s="60"/>
      <c r="I21" s="60"/>
      <c r="J21" s="61" t="s">
        <v>96</v>
      </c>
      <c r="K21" s="61">
        <v>97.8</v>
      </c>
      <c r="L21" s="61">
        <v>93</v>
      </c>
      <c r="M21" s="61">
        <f>'Forecasted Capacities'!G21*10^(-3)</f>
        <v>4000</v>
      </c>
      <c r="N21" s="61"/>
      <c r="R21" s="62"/>
    </row>
    <row r="22" spans="1:18" x14ac:dyDescent="0.25">
      <c r="B22" s="61" t="s">
        <v>79</v>
      </c>
      <c r="C22" s="233">
        <v>0</v>
      </c>
      <c r="D22" s="233">
        <v>150</v>
      </c>
      <c r="E22" s="61">
        <f>'Forecasted Capacities'!G19*10^(-3)</f>
        <v>10994.517589041096</v>
      </c>
      <c r="F22" s="60"/>
      <c r="G22" s="60"/>
      <c r="H22" s="60"/>
      <c r="I22" s="60"/>
      <c r="J22" s="61" t="s">
        <v>77</v>
      </c>
      <c r="K22" s="233">
        <v>200</v>
      </c>
      <c r="L22" s="233">
        <v>50</v>
      </c>
      <c r="M22" s="61">
        <f>'Forecasted Capacities'!G14*10^(-3)</f>
        <v>10994.517589041096</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23032.017589041097</v>
      </c>
      <c r="F24" s="60"/>
      <c r="G24" s="60"/>
      <c r="H24" s="60"/>
      <c r="I24" s="60"/>
      <c r="J24" s="60"/>
      <c r="K24" s="60"/>
      <c r="L24" s="60"/>
      <c r="M24" s="65">
        <f>SUM(M18:M22)</f>
        <v>19590.35192237443</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'30. Current tariff method 25'!B13+'30. Current tariff method 25'!B14</f>
        <v>968.58968676213726</v>
      </c>
      <c r="F26" s="60"/>
      <c r="G26" s="60"/>
      <c r="H26" s="60"/>
      <c r="I26" s="60"/>
      <c r="J26" s="60"/>
      <c r="K26" s="60"/>
      <c r="L26" s="60"/>
      <c r="M26" s="60"/>
      <c r="N26" s="60"/>
    </row>
    <row r="27" spans="1:18" x14ac:dyDescent="0.25">
      <c r="A27" s="63" t="s">
        <v>99</v>
      </c>
      <c r="B27" s="60"/>
      <c r="C27" s="61" t="s">
        <v>100</v>
      </c>
      <c r="D27" s="60"/>
      <c r="E27" s="61">
        <f>'30. Current tariff method 25'!B14</f>
        <v>678.01278073349602</v>
      </c>
      <c r="F27" s="60"/>
      <c r="G27" s="60"/>
      <c r="H27" s="60"/>
      <c r="I27" s="60"/>
      <c r="J27" s="60"/>
      <c r="K27" s="60"/>
      <c r="L27" s="60"/>
      <c r="M27" s="60"/>
      <c r="N27" s="60"/>
    </row>
    <row r="28" spans="1:18" x14ac:dyDescent="0.25">
      <c r="A28" s="63" t="s">
        <v>101</v>
      </c>
      <c r="B28" s="60"/>
      <c r="C28" s="61" t="s">
        <v>102</v>
      </c>
      <c r="D28" s="61"/>
      <c r="E28" s="61">
        <v>0.5</v>
      </c>
      <c r="F28" s="60"/>
      <c r="G28" s="60"/>
      <c r="H28" s="60"/>
      <c r="I28" s="60"/>
      <c r="J28" s="60"/>
      <c r="K28" s="60"/>
      <c r="L28" s="60"/>
      <c r="M28" s="60"/>
      <c r="N28" s="60"/>
    </row>
    <row r="29" spans="1:18" x14ac:dyDescent="0.25">
      <c r="A29" s="63" t="s">
        <v>101</v>
      </c>
      <c r="B29" s="60"/>
      <c r="C29" s="61" t="s">
        <v>103</v>
      </c>
      <c r="D29" s="61"/>
      <c r="E29" s="61">
        <f>E27*E28</f>
        <v>339.00639036674801</v>
      </c>
      <c r="F29" s="60"/>
      <c r="G29" s="60"/>
      <c r="H29" s="60"/>
      <c r="I29" s="60"/>
      <c r="J29" s="60"/>
      <c r="K29" s="60"/>
      <c r="L29" s="60"/>
      <c r="N29" s="60"/>
    </row>
    <row r="30" spans="1:18" x14ac:dyDescent="0.25">
      <c r="B30" s="60"/>
      <c r="C30" s="61" t="s">
        <v>104</v>
      </c>
      <c r="D30" s="61"/>
      <c r="E30" s="61">
        <f>E27*(1-E28)</f>
        <v>339.00639036674801</v>
      </c>
      <c r="F30" s="60"/>
      <c r="G30" s="60"/>
      <c r="H30" s="60"/>
      <c r="I30" s="60"/>
      <c r="J30" s="60"/>
      <c r="K30" s="60"/>
      <c r="L30" s="60"/>
      <c r="M30" s="60"/>
      <c r="N30" s="60"/>
    </row>
    <row r="31" spans="1:18" x14ac:dyDescent="0.25">
      <c r="B31" s="60"/>
      <c r="C31" s="61" t="s">
        <v>105</v>
      </c>
      <c r="D31" s="60"/>
      <c r="E31" s="61">
        <f>'30. Current tariff method 25'!B13</f>
        <v>290.57690602864125</v>
      </c>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 t="shared" ref="K37:L41" si="0">$M18</f>
        <v>1200</v>
      </c>
      <c r="L37" s="62">
        <f t="shared" si="0"/>
        <v>1200</v>
      </c>
      <c r="M37" s="62">
        <v>0</v>
      </c>
      <c r="N37" s="62">
        <f>$M18</f>
        <v>1200</v>
      </c>
      <c r="O37" s="62">
        <f t="shared" ref="O37:P41" si="1">$M18</f>
        <v>1200</v>
      </c>
      <c r="P37" s="62">
        <f t="shared" si="1"/>
        <v>1200</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1E-3</v>
      </c>
      <c r="L38" s="62">
        <f t="shared" si="0"/>
        <v>1E-3</v>
      </c>
      <c r="M38" s="62">
        <f>$M19</f>
        <v>1E-3</v>
      </c>
      <c r="N38" s="62">
        <f>$M19</f>
        <v>1E-3</v>
      </c>
      <c r="O38" s="62">
        <f t="shared" si="1"/>
        <v>1E-3</v>
      </c>
      <c r="P38" s="62">
        <f t="shared" si="1"/>
        <v>1E-3</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3395.8333333333335</v>
      </c>
      <c r="L39" s="62">
        <f t="shared" si="0"/>
        <v>3395.8333333333335</v>
      </c>
      <c r="M39" s="62">
        <f>$M20</f>
        <v>3395.8333333333335</v>
      </c>
      <c r="N39" s="62">
        <f>$M20</f>
        <v>3395.8333333333335</v>
      </c>
      <c r="O39" s="62">
        <f t="shared" si="1"/>
        <v>3395.8333333333335</v>
      </c>
      <c r="P39" s="62">
        <f t="shared" si="1"/>
        <v>3395.8333333333335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4000</v>
      </c>
      <c r="L40" s="62">
        <f t="shared" si="0"/>
        <v>4000</v>
      </c>
      <c r="M40" s="62">
        <f>$M21</f>
        <v>4000</v>
      </c>
      <c r="N40" s="62">
        <v>0</v>
      </c>
      <c r="O40" s="62">
        <f t="shared" si="1"/>
        <v>4000</v>
      </c>
      <c r="P40" s="62">
        <f t="shared" si="1"/>
        <v>4000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10994.517589041096</v>
      </c>
      <c r="L41" s="62">
        <f t="shared" si="0"/>
        <v>10994.517589041096</v>
      </c>
      <c r="M41" s="62">
        <f>$M22</f>
        <v>10994.517589041096</v>
      </c>
      <c r="N41" s="62">
        <f>$M22</f>
        <v>10994.517589041096</v>
      </c>
      <c r="O41" s="62">
        <f t="shared" si="1"/>
        <v>10994.517589041096</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19590.35192237443</v>
      </c>
      <c r="L43" s="70">
        <f t="shared" ref="L43:P43" si="2">SUM(L37:L41)</f>
        <v>19590.35192237443</v>
      </c>
      <c r="M43" s="70">
        <f t="shared" si="2"/>
        <v>18390.35192237443</v>
      </c>
      <c r="N43" s="70">
        <f t="shared" si="2"/>
        <v>15590.35192237443</v>
      </c>
      <c r="O43" s="70">
        <f>SUM(O37:O41)</f>
        <v>19590.35192237443</v>
      </c>
      <c r="P43" s="70">
        <f t="shared" si="2"/>
        <v>8595.8343333333323</v>
      </c>
    </row>
    <row r="45" spans="1:16" x14ac:dyDescent="0.25">
      <c r="B45" s="68" t="s">
        <v>110</v>
      </c>
      <c r="C45" s="68"/>
      <c r="D45" s="68"/>
      <c r="E45" s="68" t="s">
        <v>111</v>
      </c>
      <c r="F45" s="68"/>
      <c r="G45" s="68"/>
      <c r="H45" s="68"/>
      <c r="I45" s="68"/>
      <c r="J45" s="68" t="s">
        <v>113</v>
      </c>
      <c r="K45" s="68"/>
    </row>
    <row r="46" spans="1:16" x14ac:dyDescent="0.25">
      <c r="A46" s="63" t="s">
        <v>114</v>
      </c>
      <c r="B46" s="62"/>
      <c r="C46" s="69" t="s">
        <v>115</v>
      </c>
      <c r="D46" s="69"/>
      <c r="E46" s="69" t="s">
        <v>116</v>
      </c>
      <c r="F46" s="62"/>
      <c r="G46" s="62"/>
      <c r="H46" s="69"/>
      <c r="I46" s="62"/>
      <c r="J46" s="69" t="s">
        <v>118</v>
      </c>
      <c r="K46" s="69" t="s">
        <v>8</v>
      </c>
    </row>
    <row r="47" spans="1:16" x14ac:dyDescent="0.25">
      <c r="B47" s="62" t="s">
        <v>70</v>
      </c>
      <c r="C47" s="62">
        <f>MMULT(C37:G37,K37:K41)/K43</f>
        <v>198.45668920474901</v>
      </c>
      <c r="D47" s="62"/>
      <c r="E47" s="62">
        <f>SUMPRODUCT(C47:C52,E18:E23)</f>
        <v>4668381.6581672821</v>
      </c>
      <c r="F47" s="62"/>
      <c r="G47" s="62"/>
      <c r="H47" s="62"/>
      <c r="I47" s="62"/>
      <c r="J47" s="69" t="s">
        <v>26</v>
      </c>
      <c r="K47" s="62" t="s">
        <v>68</v>
      </c>
      <c r="L47" s="62" t="s">
        <v>66</v>
      </c>
      <c r="M47" s="62" t="s">
        <v>64</v>
      </c>
      <c r="N47" s="62" t="s">
        <v>96</v>
      </c>
      <c r="O47" s="62" t="s">
        <v>77</v>
      </c>
    </row>
    <row r="48" spans="1:16" x14ac:dyDescent="0.25">
      <c r="B48" s="62" t="s">
        <v>73</v>
      </c>
      <c r="C48" s="62">
        <f>MMULT(C38:G38,L37:L41)/L43</f>
        <v>141.65668920474903</v>
      </c>
      <c r="D48" s="62"/>
      <c r="E48" s="62"/>
      <c r="F48" s="62"/>
      <c r="G48" s="62"/>
      <c r="H48" s="62"/>
      <c r="I48" s="62"/>
      <c r="J48" s="62" t="s">
        <v>70</v>
      </c>
      <c r="K48" s="62">
        <f t="shared" ref="K48:O49" si="3">$E18</f>
        <v>2562.5</v>
      </c>
      <c r="L48" s="62">
        <f t="shared" si="3"/>
        <v>2562.5</v>
      </c>
      <c r="M48" s="62">
        <f t="shared" si="3"/>
        <v>2562.5</v>
      </c>
      <c r="N48" s="62">
        <f t="shared" si="3"/>
        <v>2562.5</v>
      </c>
      <c r="O48" s="62">
        <f t="shared" si="3"/>
        <v>2562.5</v>
      </c>
    </row>
    <row r="49" spans="2:15" x14ac:dyDescent="0.25">
      <c r="B49" s="62" t="s">
        <v>68</v>
      </c>
      <c r="C49" s="62">
        <f>MMULT(C39:G39,M37:M41)/M43</f>
        <v>186.417237923096</v>
      </c>
      <c r="D49" s="62"/>
      <c r="E49" s="62"/>
      <c r="F49" s="62"/>
      <c r="G49" s="62"/>
      <c r="H49" s="62"/>
      <c r="I49" s="62"/>
      <c r="J49" s="62" t="s">
        <v>73</v>
      </c>
      <c r="K49" s="62">
        <f t="shared" si="3"/>
        <v>887.50000000000011</v>
      </c>
      <c r="L49" s="62">
        <f t="shared" si="3"/>
        <v>887.50000000000011</v>
      </c>
      <c r="M49" s="62">
        <f t="shared" si="3"/>
        <v>887.50000000000011</v>
      </c>
      <c r="N49" s="62">
        <f t="shared" si="3"/>
        <v>887.50000000000011</v>
      </c>
      <c r="O49" s="62">
        <f t="shared" si="3"/>
        <v>887.50000000000011</v>
      </c>
    </row>
    <row r="50" spans="2:15" x14ac:dyDescent="0.25">
      <c r="B50" s="62" t="s">
        <v>96</v>
      </c>
      <c r="C50" s="62">
        <f>MMULT(C40:G40,N37:N41)/N43</f>
        <v>132.79366464402369</v>
      </c>
      <c r="D50" s="62"/>
      <c r="E50" s="62"/>
      <c r="F50" s="62"/>
      <c r="G50" s="62"/>
      <c r="H50" s="62"/>
      <c r="I50" s="62"/>
      <c r="J50" s="62" t="s">
        <v>68</v>
      </c>
      <c r="K50" s="62">
        <v>0</v>
      </c>
      <c r="L50" s="62">
        <f>$E20</f>
        <v>1587.5</v>
      </c>
      <c r="M50" s="62">
        <f>$E20</f>
        <v>1587.5</v>
      </c>
      <c r="N50" s="62">
        <f>$E20</f>
        <v>1587.5</v>
      </c>
      <c r="O50" s="62">
        <f>$E20</f>
        <v>1587.5</v>
      </c>
    </row>
    <row r="51" spans="2:15" x14ac:dyDescent="0.25">
      <c r="B51" s="62" t="s">
        <v>79</v>
      </c>
      <c r="C51" s="62">
        <f>MMULT(C41:G41,O37:O41)/O43</f>
        <v>255.45668920474901</v>
      </c>
      <c r="H51" s="62"/>
      <c r="J51" s="62" t="s">
        <v>96</v>
      </c>
      <c r="K51" s="62">
        <f>$E21</f>
        <v>7000</v>
      </c>
      <c r="L51" s="62">
        <f>$E21</f>
        <v>7000</v>
      </c>
      <c r="M51" s="62">
        <f>$E21</f>
        <v>7000</v>
      </c>
      <c r="N51" s="62">
        <v>0</v>
      </c>
      <c r="O51" s="62">
        <f>$E21</f>
        <v>7000</v>
      </c>
    </row>
    <row r="52" spans="2:15" x14ac:dyDescent="0.25">
      <c r="B52" s="62" t="s">
        <v>77</v>
      </c>
      <c r="C52" s="62">
        <f>MMULT(C42:G42,P37:P41)/P43</f>
        <v>128.45981463191686</v>
      </c>
      <c r="H52" s="62"/>
      <c r="J52" s="62" t="s">
        <v>79</v>
      </c>
      <c r="K52" s="62">
        <f>$E22</f>
        <v>10994.517589041096</v>
      </c>
      <c r="L52" s="62">
        <f t="shared" ref="L52:O53" si="4">$E22</f>
        <v>10994.517589041096</v>
      </c>
      <c r="M52" s="62">
        <f t="shared" si="4"/>
        <v>10994.517589041096</v>
      </c>
      <c r="N52" s="62">
        <f t="shared" si="4"/>
        <v>10994.517589041096</v>
      </c>
      <c r="O52" s="62">
        <f t="shared" si="4"/>
        <v>10994.517589041096</v>
      </c>
    </row>
    <row r="53" spans="2:15" x14ac:dyDescent="0.25">
      <c r="C53" s="62"/>
      <c r="H53" s="62"/>
      <c r="J53" s="62" t="s">
        <v>77</v>
      </c>
      <c r="K53" s="62">
        <f>$E23</f>
        <v>0</v>
      </c>
      <c r="L53" s="62">
        <f t="shared" si="4"/>
        <v>0</v>
      </c>
      <c r="M53" s="62">
        <f t="shared" si="4"/>
        <v>0</v>
      </c>
      <c r="N53" s="62">
        <f t="shared" si="4"/>
        <v>0</v>
      </c>
      <c r="O53" s="62">
        <v>0</v>
      </c>
    </row>
    <row r="54" spans="2:15" x14ac:dyDescent="0.25">
      <c r="C54" s="62"/>
      <c r="H54" s="62"/>
      <c r="J54" s="62"/>
      <c r="K54" s="62"/>
      <c r="L54" s="62"/>
      <c r="M54" s="62"/>
      <c r="N54" s="62"/>
    </row>
    <row r="55" spans="2:15" x14ac:dyDescent="0.25">
      <c r="J55" s="70" t="s">
        <v>14</v>
      </c>
      <c r="K55" s="70">
        <f>SUM(K48:K53)</f>
        <v>21444.517589041097</v>
      </c>
      <c r="L55" s="70">
        <f t="shared" ref="L55:O55" si="5">SUM(L48:L53)</f>
        <v>23032.017589041097</v>
      </c>
      <c r="M55" s="70">
        <f t="shared" si="5"/>
        <v>23032.017589041097</v>
      </c>
      <c r="N55" s="70">
        <f t="shared" si="5"/>
        <v>16032.017589041096</v>
      </c>
      <c r="O55" s="70">
        <f t="shared" si="5"/>
        <v>23032.017589041097</v>
      </c>
    </row>
    <row r="57" spans="2:15" x14ac:dyDescent="0.25">
      <c r="B57" s="68" t="s">
        <v>119</v>
      </c>
      <c r="C57" s="68"/>
      <c r="D57" s="68"/>
      <c r="E57" s="68" t="s">
        <v>120</v>
      </c>
      <c r="F57" s="68"/>
      <c r="G57" s="68"/>
      <c r="H57" s="68"/>
      <c r="I57" s="68"/>
      <c r="J57" s="98" t="s">
        <v>196</v>
      </c>
      <c r="K57" s="99"/>
      <c r="L57" s="100"/>
      <c r="M57" s="101"/>
      <c r="N57" s="102"/>
    </row>
    <row r="58" spans="2:15" x14ac:dyDescent="0.25">
      <c r="B58" s="62"/>
      <c r="C58" s="69" t="s">
        <v>122</v>
      </c>
      <c r="D58" s="69"/>
      <c r="E58" s="69" t="s">
        <v>116</v>
      </c>
      <c r="F58" s="69"/>
      <c r="G58" s="69"/>
      <c r="H58" s="69"/>
      <c r="J58" s="103"/>
      <c r="K58" s="88"/>
      <c r="L58" s="88"/>
      <c r="M58" s="38"/>
      <c r="N58" s="39"/>
    </row>
    <row r="59" spans="2:15" x14ac:dyDescent="0.25">
      <c r="B59" s="62" t="s">
        <v>68</v>
      </c>
      <c r="C59" s="62">
        <f>SUMPRODUCT(K48:K53,C37:C42)/K55</f>
        <v>171.515457139186</v>
      </c>
      <c r="E59" s="62">
        <f>SUMPRODUCT(C59:C63,M18:M22)</f>
        <v>3975069.3830927564</v>
      </c>
      <c r="F59" s="62"/>
      <c r="G59" s="62"/>
      <c r="H59" s="62"/>
      <c r="J59" s="104" t="s">
        <v>135</v>
      </c>
      <c r="K59" s="105" t="s">
        <v>136</v>
      </c>
      <c r="L59" s="88"/>
      <c r="M59" s="38"/>
      <c r="N59" s="39"/>
    </row>
    <row r="60" spans="2:15" x14ac:dyDescent="0.25">
      <c r="B60" s="62" t="s">
        <v>66</v>
      </c>
      <c r="C60" s="62">
        <f>SUMPRODUCT(L48:L53,D37:D42)/L55</f>
        <v>273.19198686228617</v>
      </c>
      <c r="E60" s="62"/>
      <c r="F60" s="62"/>
      <c r="G60" s="62"/>
      <c r="H60" s="62"/>
      <c r="J60" s="106">
        <f>M84</f>
        <v>2.1440922714179807E-2</v>
      </c>
      <c r="K60" s="107">
        <f>J60*E18</f>
        <v>54.942364455085752</v>
      </c>
      <c r="L60" s="107"/>
      <c r="M60" s="38"/>
      <c r="N60" s="39"/>
    </row>
    <row r="61" spans="2:15" x14ac:dyDescent="0.25">
      <c r="B61" s="62" t="s">
        <v>64</v>
      </c>
      <c r="C61" s="62">
        <f>SUMPRODUCT(M48:M53,E37:E42)/M55</f>
        <v>187.79198686228622</v>
      </c>
      <c r="E61" s="62"/>
      <c r="F61" s="62"/>
      <c r="G61" s="62"/>
      <c r="H61" s="62"/>
      <c r="J61" s="106">
        <f>M84</f>
        <v>2.1440922714179807E-2</v>
      </c>
      <c r="K61" s="107">
        <f t="shared" ref="K61:K65" si="6">J61*E19</f>
        <v>19.02881890883458</v>
      </c>
      <c r="L61" s="107"/>
      <c r="M61" s="38"/>
      <c r="N61" s="39"/>
    </row>
    <row r="62" spans="2:15" x14ac:dyDescent="0.25">
      <c r="B62" s="62" t="s">
        <v>96</v>
      </c>
      <c r="C62" s="62">
        <f>SUMPRODUCT(N48:N53,F37:F42)/N55</f>
        <v>137.32995928650598</v>
      </c>
      <c r="E62" s="62"/>
      <c r="F62" s="62"/>
      <c r="G62" s="62"/>
      <c r="H62" s="62"/>
      <c r="J62" s="106">
        <f>M84</f>
        <v>2.1440922714179807E-2</v>
      </c>
      <c r="K62" s="107">
        <f t="shared" si="6"/>
        <v>34.03746480876044</v>
      </c>
      <c r="L62" s="107"/>
      <c r="M62" s="88"/>
      <c r="N62" s="108"/>
    </row>
    <row r="63" spans="2:15" x14ac:dyDescent="0.25">
      <c r="B63" s="62" t="s">
        <v>77</v>
      </c>
      <c r="C63" s="62">
        <f>SUMPRODUCT(O48:O53,G37:G42)/O55</f>
        <v>234.86436895073334</v>
      </c>
      <c r="E63" s="62"/>
      <c r="F63" s="62"/>
      <c r="G63" s="62"/>
      <c r="H63" s="62"/>
      <c r="J63" s="106">
        <v>0</v>
      </c>
      <c r="K63" s="107">
        <f t="shared" si="6"/>
        <v>0</v>
      </c>
      <c r="L63" s="107"/>
      <c r="M63" s="88"/>
      <c r="N63" s="108"/>
    </row>
    <row r="64" spans="2:15" x14ac:dyDescent="0.25">
      <c r="B64" s="62"/>
      <c r="C64" s="62"/>
      <c r="E64" s="62"/>
      <c r="F64" s="62"/>
      <c r="G64" s="62"/>
      <c r="H64" s="62"/>
      <c r="J64" s="106">
        <f>M84</f>
        <v>2.1440922714179807E-2</v>
      </c>
      <c r="K64" s="107">
        <f t="shared" si="6"/>
        <v>235.73260190632064</v>
      </c>
      <c r="L64" s="107"/>
      <c r="M64" s="88"/>
      <c r="N64" s="108"/>
    </row>
    <row r="65" spans="1:17" x14ac:dyDescent="0.25">
      <c r="B65" s="62"/>
      <c r="C65" s="62"/>
      <c r="E65" s="62"/>
      <c r="F65" s="62"/>
      <c r="G65" s="62"/>
      <c r="H65" s="62"/>
      <c r="J65" s="106">
        <f>M84</f>
        <v>2.1440922714179807E-2</v>
      </c>
      <c r="K65" s="107">
        <f t="shared" si="6"/>
        <v>0</v>
      </c>
      <c r="L65" s="107"/>
      <c r="M65" s="88"/>
      <c r="N65" s="108"/>
    </row>
    <row r="66" spans="1:17" x14ac:dyDescent="0.25">
      <c r="A66" s="90"/>
      <c r="B66" s="90"/>
      <c r="C66" s="90"/>
      <c r="D66" s="90"/>
      <c r="E66" s="90"/>
      <c r="F66" s="90"/>
      <c r="G66" s="90"/>
      <c r="H66" s="90"/>
      <c r="I66" s="90"/>
      <c r="J66" s="106"/>
      <c r="K66" s="107"/>
      <c r="L66" s="107"/>
      <c r="M66" s="88"/>
      <c r="N66" s="108"/>
      <c r="O66" s="88"/>
      <c r="P66" s="90"/>
      <c r="Q66" s="97"/>
    </row>
    <row r="67" spans="1:17" x14ac:dyDescent="0.25">
      <c r="I67" s="93"/>
      <c r="J67" s="103"/>
      <c r="K67" s="109">
        <f>SUM(K60:K65)</f>
        <v>343.74125007900142</v>
      </c>
      <c r="L67" s="88"/>
      <c r="M67" s="88"/>
      <c r="N67" s="108"/>
      <c r="O67" s="88"/>
    </row>
    <row r="68" spans="1:17" x14ac:dyDescent="0.25">
      <c r="I68" s="90"/>
      <c r="J68" s="103"/>
      <c r="K68" s="88"/>
      <c r="L68" s="88"/>
      <c r="M68" s="88"/>
      <c r="N68" s="108"/>
      <c r="O68" s="90"/>
    </row>
    <row r="69" spans="1:17" x14ac:dyDescent="0.25">
      <c r="J69" s="103"/>
      <c r="K69" s="88"/>
      <c r="L69" s="88"/>
      <c r="M69" s="88"/>
      <c r="N69" s="108"/>
      <c r="O69" s="90"/>
    </row>
    <row r="70" spans="1:17" x14ac:dyDescent="0.25">
      <c r="J70" s="110" t="s">
        <v>197</v>
      </c>
      <c r="K70" s="111"/>
      <c r="L70" s="88"/>
      <c r="M70" s="88"/>
      <c r="N70" s="108"/>
      <c r="O70" s="90"/>
    </row>
    <row r="71" spans="1:17" x14ac:dyDescent="0.25">
      <c r="J71" s="103"/>
      <c r="K71" s="88"/>
      <c r="L71" s="88"/>
      <c r="M71" s="88"/>
      <c r="N71" s="108"/>
      <c r="O71" s="90"/>
    </row>
    <row r="72" spans="1:17" x14ac:dyDescent="0.25">
      <c r="J72" s="104" t="s">
        <v>149</v>
      </c>
      <c r="K72" s="105" t="s">
        <v>150</v>
      </c>
      <c r="L72" s="88"/>
      <c r="M72" s="88"/>
      <c r="N72" s="108"/>
      <c r="O72" s="90"/>
    </row>
    <row r="73" spans="1:17" x14ac:dyDescent="0.25">
      <c r="J73" s="106">
        <f>M84</f>
        <v>2.1440922714179807E-2</v>
      </c>
      <c r="K73" s="107">
        <f>J73*M18</f>
        <v>25.72910725701577</v>
      </c>
      <c r="L73" s="107"/>
      <c r="M73" s="88"/>
      <c r="N73" s="108"/>
      <c r="O73" s="90"/>
    </row>
    <row r="74" spans="1:17" x14ac:dyDescent="0.25">
      <c r="J74" s="106">
        <f>M84</f>
        <v>2.1440922714179807E-2</v>
      </c>
      <c r="K74" s="107">
        <f t="shared" ref="K74:K77" si="7">J74*M19</f>
        <v>2.1440922714179807E-5</v>
      </c>
      <c r="L74" s="107"/>
      <c r="M74" s="88"/>
      <c r="N74" s="108"/>
      <c r="O74" s="90"/>
    </row>
    <row r="75" spans="1:17" x14ac:dyDescent="0.25">
      <c r="J75" s="106">
        <f>M84</f>
        <v>2.1440922714179807E-2</v>
      </c>
      <c r="K75" s="107">
        <f t="shared" si="7"/>
        <v>72.809800050235594</v>
      </c>
      <c r="L75" s="107"/>
      <c r="M75" s="88"/>
      <c r="N75" s="108"/>
      <c r="O75" s="90"/>
    </row>
    <row r="76" spans="1:17" x14ac:dyDescent="0.25">
      <c r="A76" s="90"/>
      <c r="B76" s="94"/>
      <c r="C76" s="94"/>
      <c r="D76" s="94"/>
      <c r="J76" s="106">
        <v>0</v>
      </c>
      <c r="K76" s="107">
        <f t="shared" si="7"/>
        <v>0</v>
      </c>
      <c r="L76" s="107"/>
      <c r="M76" s="88"/>
      <c r="N76" s="108"/>
      <c r="O76" s="90"/>
    </row>
    <row r="77" spans="1:17" x14ac:dyDescent="0.25">
      <c r="A77" s="90"/>
      <c r="B77" s="94"/>
      <c r="C77" s="94"/>
      <c r="D77" s="94"/>
      <c r="J77" s="106">
        <f>M84</f>
        <v>2.1440922714179807E-2</v>
      </c>
      <c r="K77" s="107">
        <f t="shared" si="7"/>
        <v>235.73260190632064</v>
      </c>
      <c r="L77" s="107"/>
      <c r="M77" s="88"/>
      <c r="N77" s="108"/>
      <c r="O77" s="90"/>
    </row>
    <row r="78" spans="1:17" x14ac:dyDescent="0.25">
      <c r="A78" s="90"/>
      <c r="B78" s="95"/>
      <c r="C78" s="95"/>
      <c r="D78" s="95"/>
      <c r="J78" s="106"/>
      <c r="K78" s="107"/>
      <c r="L78" s="107"/>
      <c r="M78" s="88"/>
      <c r="N78" s="108"/>
      <c r="O78" s="90"/>
    </row>
    <row r="79" spans="1:17" x14ac:dyDescent="0.25">
      <c r="A79" s="90"/>
      <c r="J79" s="103"/>
      <c r="K79" s="109">
        <f>SUM(K73:K77)</f>
        <v>334.27153065449471</v>
      </c>
      <c r="L79" s="88"/>
      <c r="M79" s="88"/>
      <c r="N79" s="108"/>
      <c r="O79" s="90"/>
    </row>
    <row r="80" spans="1:17" x14ac:dyDescent="0.25">
      <c r="A80" s="90"/>
      <c r="J80" s="113"/>
      <c r="K80" s="38"/>
      <c r="L80" s="38"/>
      <c r="M80" s="88"/>
      <c r="N80" s="108"/>
      <c r="O80" s="90"/>
    </row>
    <row r="81" spans="1:15" x14ac:dyDescent="0.25">
      <c r="A81" s="90"/>
      <c r="H81" s="90"/>
      <c r="J81" s="113"/>
      <c r="K81" s="38"/>
      <c r="L81" s="38"/>
      <c r="M81" s="88"/>
      <c r="N81" s="108"/>
      <c r="O81" s="90"/>
    </row>
    <row r="82" spans="1:15" x14ac:dyDescent="0.25">
      <c r="A82" s="90"/>
      <c r="H82" s="90"/>
      <c r="J82" s="114"/>
      <c r="K82" s="115"/>
      <c r="L82" s="115"/>
      <c r="M82" s="115"/>
      <c r="N82" s="116"/>
      <c r="O82" s="90"/>
    </row>
    <row r="83" spans="1:15" x14ac:dyDescent="0.25">
      <c r="A83" s="90"/>
      <c r="B83" s="90"/>
      <c r="C83" s="90"/>
      <c r="D83" s="90"/>
      <c r="E83" s="112"/>
      <c r="F83" s="90"/>
      <c r="G83" s="90"/>
      <c r="H83" s="90"/>
      <c r="J83" s="114"/>
      <c r="K83" s="115" t="s">
        <v>30</v>
      </c>
      <c r="L83" s="115"/>
      <c r="M83" s="115" t="s">
        <v>198</v>
      </c>
      <c r="N83" s="116"/>
      <c r="O83" s="90"/>
    </row>
    <row r="84" spans="1:15" x14ac:dyDescent="0.25">
      <c r="A84" s="90"/>
      <c r="B84" s="90"/>
      <c r="C84" s="90"/>
      <c r="D84" s="90"/>
      <c r="E84" s="90"/>
      <c r="F84" s="90"/>
      <c r="G84" s="90"/>
      <c r="H84" s="90"/>
      <c r="J84" s="114" t="s">
        <v>199</v>
      </c>
      <c r="K84" s="115">
        <f>'30. Current tariff method 25'!B20</f>
        <v>21.440922714179806</v>
      </c>
      <c r="L84" s="115"/>
      <c r="M84" s="115">
        <f>K84*10^(-3)</f>
        <v>2.1440922714179807E-2</v>
      </c>
      <c r="N84" s="116"/>
      <c r="O84" s="90"/>
    </row>
    <row r="85" spans="1:15" x14ac:dyDescent="0.25">
      <c r="A85" s="90"/>
      <c r="B85" s="90"/>
      <c r="C85" s="90"/>
      <c r="D85" s="90"/>
      <c r="E85" s="90"/>
      <c r="F85" s="90"/>
      <c r="G85" s="90"/>
      <c r="H85" s="90"/>
      <c r="J85" s="117"/>
      <c r="K85" s="118"/>
      <c r="L85" s="118"/>
      <c r="M85" s="118"/>
      <c r="N85" s="119"/>
      <c r="O85" s="90"/>
    </row>
    <row r="86" spans="1:15" x14ac:dyDescent="0.25">
      <c r="A86" s="90"/>
      <c r="B86" s="93"/>
      <c r="C86" s="93"/>
      <c r="D86" s="93"/>
      <c r="E86" s="93"/>
      <c r="F86" s="93"/>
      <c r="G86" s="93"/>
      <c r="H86" s="90"/>
      <c r="O86" s="90"/>
    </row>
    <row r="87" spans="1:15" x14ac:dyDescent="0.25">
      <c r="B87" s="68" t="s">
        <v>152</v>
      </c>
      <c r="J87" s="68" t="s">
        <v>153</v>
      </c>
    </row>
    <row r="88" spans="1:15" x14ac:dyDescent="0.25">
      <c r="B88" s="69" t="s">
        <v>154</v>
      </c>
      <c r="C88" s="69" t="s">
        <v>155</v>
      </c>
      <c r="D88" s="69" t="s">
        <v>156</v>
      </c>
      <c r="E88" s="69" t="s">
        <v>156</v>
      </c>
      <c r="F88" s="69" t="s">
        <v>155</v>
      </c>
      <c r="G88" s="69" t="s">
        <v>156</v>
      </c>
      <c r="J88" s="75" t="s">
        <v>157</v>
      </c>
      <c r="K88" s="75"/>
      <c r="L88" s="75"/>
    </row>
    <row r="89" spans="1:15" x14ac:dyDescent="0.25">
      <c r="B89" s="62"/>
      <c r="C89" s="62" t="s">
        <v>64</v>
      </c>
      <c r="D89" s="62" t="s">
        <v>68</v>
      </c>
      <c r="E89" s="62" t="s">
        <v>66</v>
      </c>
      <c r="F89" s="62" t="s">
        <v>96</v>
      </c>
      <c r="G89" s="62" t="s">
        <v>77</v>
      </c>
      <c r="J89" s="74"/>
      <c r="K89" s="69" t="s">
        <v>158</v>
      </c>
      <c r="L89" s="69" t="s">
        <v>159</v>
      </c>
      <c r="N89" s="53">
        <f>SUM(K90:K95)</f>
        <v>792.0022535211267</v>
      </c>
    </row>
    <row r="90" spans="1:15" x14ac:dyDescent="0.25">
      <c r="B90" s="69" t="s">
        <v>160</v>
      </c>
      <c r="C90" s="62">
        <f>M20</f>
        <v>3395.8333333333335</v>
      </c>
      <c r="D90" s="62">
        <f>M18</f>
        <v>1200</v>
      </c>
      <c r="E90" s="62">
        <f>M19</f>
        <v>1E-3</v>
      </c>
      <c r="F90" s="62">
        <f>M21</f>
        <v>4000</v>
      </c>
      <c r="G90" s="62">
        <f>M22</f>
        <v>10994.517589041096</v>
      </c>
      <c r="J90" s="76" t="s">
        <v>70</v>
      </c>
      <c r="K90" s="62">
        <f>(E37*K39+F37*K40)/SUM(K39,K40)</f>
        <v>140.13408450704225</v>
      </c>
      <c r="L90" s="62">
        <f>(C37*K37+D37*K38+G37*K41)/SUM(K37,K38,K41)</f>
        <v>233.82866889878639</v>
      </c>
      <c r="N90" s="53">
        <f>SUM(L90:L95)</f>
        <v>1325.183745760201</v>
      </c>
    </row>
    <row r="91" spans="1:15" x14ac:dyDescent="0.25">
      <c r="B91" s="69" t="s">
        <v>161</v>
      </c>
      <c r="C91" s="62">
        <f>C90*C61</f>
        <v>637710.28871984698</v>
      </c>
      <c r="D91" s="62">
        <f>D90*C59</f>
        <v>205818.54856702319</v>
      </c>
      <c r="E91" s="62">
        <f>E90*C60</f>
        <v>0.27319198686228618</v>
      </c>
      <c r="F91" s="62">
        <f>F90*C62</f>
        <v>549319.83714602399</v>
      </c>
      <c r="G91" s="62">
        <f>G90*C63</f>
        <v>2582220.4354678751</v>
      </c>
      <c r="J91" s="76" t="s">
        <v>73</v>
      </c>
      <c r="K91" s="62">
        <f>(E38*L39+F38*L40)/SUM(L39,L40)</f>
        <v>83.334084507042249</v>
      </c>
      <c r="L91" s="62">
        <f>(C38*L37+D38*L38+G38*L41)/SUM(L37,L38,L41)</f>
        <v>177.02866889878638</v>
      </c>
    </row>
    <row r="92" spans="1:15" x14ac:dyDescent="0.25">
      <c r="J92" s="76" t="s">
        <v>68</v>
      </c>
      <c r="K92" s="62">
        <f>(E39*M39+F39*M40)/SUM(M39,M40)</f>
        <v>176.33408450704223</v>
      </c>
      <c r="L92" s="62">
        <f>(C39*M37+D39*M38+G39*M41)/SUM(M37,M38,M41)</f>
        <v>193.20001076900266</v>
      </c>
    </row>
    <row r="93" spans="1:15" x14ac:dyDescent="0.25">
      <c r="C93" s="62" t="s">
        <v>162</v>
      </c>
      <c r="J93" s="76" t="s">
        <v>96</v>
      </c>
      <c r="K93" s="62">
        <f>(E40*N39+F40*N40)/SUM(N39,N40)</f>
        <v>92.2</v>
      </c>
      <c r="L93" s="62">
        <f>(C40*N37+D40*N38+G40*N41)/SUM(N37,N38,N41)</f>
        <v>144.09786812805564</v>
      </c>
    </row>
    <row r="94" spans="1:15" x14ac:dyDescent="0.25">
      <c r="C94" s="62"/>
      <c r="J94" s="76" t="s">
        <v>79</v>
      </c>
      <c r="K94" s="62">
        <f>(E41*O39+F41*O40)/SUM(O39,O40)</f>
        <v>197.13408450704225</v>
      </c>
      <c r="L94" s="62">
        <f>(C41*O37+D41*O38+G41*O41)/SUM(O37,O38,O41)</f>
        <v>290.82866889878642</v>
      </c>
    </row>
    <row r="95" spans="1:15" x14ac:dyDescent="0.25">
      <c r="C95" s="62"/>
      <c r="J95" s="76" t="s">
        <v>77</v>
      </c>
      <c r="K95" s="62">
        <f>(E42*P39+F42*P40)/SUM(P39,P40)</f>
        <v>102.86591549295775</v>
      </c>
      <c r="L95" s="62">
        <f>(C42*P37+D42*P38+G42*P41)/SUM(P37,P38,P41)</f>
        <v>286.1998601667832</v>
      </c>
    </row>
    <row r="96" spans="1:15" x14ac:dyDescent="0.25">
      <c r="B96" s="68" t="s">
        <v>163</v>
      </c>
      <c r="J96" s="68" t="s">
        <v>164</v>
      </c>
      <c r="K96" s="62"/>
      <c r="L96" s="62"/>
    </row>
    <row r="97" spans="2:12" ht="45.75" x14ac:dyDescent="0.25">
      <c r="C97" s="76" t="s">
        <v>165</v>
      </c>
      <c r="D97" s="76" t="s">
        <v>166</v>
      </c>
      <c r="E97" s="76" t="s">
        <v>167</v>
      </c>
      <c r="F97" s="76" t="s">
        <v>168</v>
      </c>
      <c r="G97" s="76" t="s">
        <v>169</v>
      </c>
      <c r="J97" s="76" t="s">
        <v>170</v>
      </c>
      <c r="K97" s="62">
        <f>SUMPRODUCT(C98:C103,J60:J65)</f>
        <v>181.99704162709111</v>
      </c>
      <c r="L97" s="62"/>
    </row>
    <row r="98" spans="2:12" ht="45.75" x14ac:dyDescent="0.25">
      <c r="B98" s="76" t="s">
        <v>70</v>
      </c>
      <c r="C98" s="62">
        <f>SUM($D$90,$E$90,$G$90)/SUM($E$18:$E$23)*E18</f>
        <v>1356.739754283888</v>
      </c>
      <c r="D98" s="62" t="s">
        <v>171</v>
      </c>
      <c r="E98" s="62">
        <f>E18-C98</f>
        <v>1205.760245716112</v>
      </c>
      <c r="F98" s="62">
        <f>C98*L90</f>
        <v>317244.65078626806</v>
      </c>
      <c r="G98" s="62">
        <f>E98*K90</f>
        <v>168968.10816841366</v>
      </c>
      <c r="J98" s="76" t="s">
        <v>172</v>
      </c>
      <c r="K98" s="62">
        <f>K67-K97</f>
        <v>161.74420845191031</v>
      </c>
      <c r="L98" s="62"/>
    </row>
    <row r="99" spans="2:12" ht="45.75" x14ac:dyDescent="0.25">
      <c r="B99" s="76" t="s">
        <v>73</v>
      </c>
      <c r="C99" s="62">
        <f t="shared" ref="C99:C103" si="8">SUM($D$90,$E$90,$G$90)/SUM($E$18:$E$23)*E19</f>
        <v>469.89523197149299</v>
      </c>
      <c r="D99" s="62" t="s">
        <v>171</v>
      </c>
      <c r="E99" s="62">
        <f t="shared" ref="E99:E103" si="9">E19-C99</f>
        <v>417.60476802850712</v>
      </c>
      <c r="F99" s="62">
        <f t="shared" ref="F99:F103" si="10">C99*L91</f>
        <v>83184.927437799852</v>
      </c>
      <c r="G99" s="62">
        <f t="shared" ref="G99:G103" si="11">E99*K91</f>
        <v>34800.71102943139</v>
      </c>
      <c r="J99" s="76" t="s">
        <v>173</v>
      </c>
      <c r="K99" s="62">
        <f>D90*J73+E90*J74+G90*J77</f>
        <v>261.46173060425912</v>
      </c>
      <c r="L99" s="62"/>
    </row>
    <row r="100" spans="2:12" ht="45.75" x14ac:dyDescent="0.25">
      <c r="B100" s="76" t="s">
        <v>68</v>
      </c>
      <c r="C100" s="62">
        <f t="shared" si="8"/>
        <v>840.51682338562819</v>
      </c>
      <c r="D100" s="62" t="s">
        <v>171</v>
      </c>
      <c r="E100" s="62">
        <f t="shared" si="9"/>
        <v>746.98317661437181</v>
      </c>
      <c r="F100" s="62">
        <f t="shared" si="10"/>
        <v>162387.85932963126</v>
      </c>
      <c r="G100" s="62">
        <f t="shared" si="11"/>
        <v>131718.59459045751</v>
      </c>
      <c r="J100" s="76" t="s">
        <v>174</v>
      </c>
      <c r="K100" s="62">
        <f>K79-K99</f>
        <v>72.809800050235594</v>
      </c>
      <c r="L100" s="62"/>
    </row>
    <row r="101" spans="2:12" ht="23.25" x14ac:dyDescent="0.25">
      <c r="B101" s="76" t="s">
        <v>96</v>
      </c>
      <c r="C101" s="62">
        <f t="shared" si="8"/>
        <v>3706.2159141413526</v>
      </c>
      <c r="D101" s="62" t="s">
        <v>171</v>
      </c>
      <c r="E101" s="62">
        <f t="shared" si="9"/>
        <v>3293.7840858586474</v>
      </c>
      <c r="F101" s="62">
        <f t="shared" si="10"/>
        <v>534057.81205004186</v>
      </c>
      <c r="G101" s="62">
        <f t="shared" si="11"/>
        <v>303686.89271616732</v>
      </c>
      <c r="H101" s="69"/>
      <c r="J101" s="76" t="s">
        <v>175</v>
      </c>
      <c r="K101" s="62">
        <f>K98+K100</f>
        <v>234.5540085021459</v>
      </c>
      <c r="L101" s="62"/>
    </row>
    <row r="102" spans="2:12" ht="23.25" x14ac:dyDescent="0.25">
      <c r="B102" s="76" t="s">
        <v>79</v>
      </c>
      <c r="C102" s="62">
        <f t="shared" si="8"/>
        <v>5821.1508652587327</v>
      </c>
      <c r="D102" s="62" t="s">
        <v>171</v>
      </c>
      <c r="E102" s="62">
        <f t="shared" si="9"/>
        <v>5173.3667237823629</v>
      </c>
      <c r="F102" s="62">
        <f t="shared" si="10"/>
        <v>1692957.557602216</v>
      </c>
      <c r="G102" s="62">
        <f t="shared" si="11"/>
        <v>1019846.9129120326</v>
      </c>
      <c r="H102" s="69"/>
      <c r="J102" s="76" t="s">
        <v>176</v>
      </c>
      <c r="K102" s="62">
        <f>K97+K99</f>
        <v>443.45877223135022</v>
      </c>
      <c r="L102" s="62"/>
    </row>
    <row r="103" spans="2:12" x14ac:dyDescent="0.25">
      <c r="B103" s="76" t="s">
        <v>77</v>
      </c>
      <c r="C103" s="62">
        <f t="shared" si="8"/>
        <v>0</v>
      </c>
      <c r="D103" s="62" t="s">
        <v>171</v>
      </c>
      <c r="E103" s="62">
        <f t="shared" si="9"/>
        <v>0</v>
      </c>
      <c r="F103" s="62">
        <f t="shared" si="10"/>
        <v>0</v>
      </c>
      <c r="G103" s="62">
        <f t="shared" si="11"/>
        <v>0</v>
      </c>
      <c r="H103" s="69"/>
      <c r="J103" s="76"/>
      <c r="K103" s="62"/>
      <c r="L103" s="62"/>
    </row>
    <row r="104" spans="2:12" x14ac:dyDescent="0.25">
      <c r="B104" s="76"/>
      <c r="C104" s="62"/>
      <c r="D104" s="62"/>
      <c r="E104" s="62"/>
      <c r="F104" s="62"/>
      <c r="G104" s="62"/>
      <c r="L104" s="62"/>
    </row>
    <row r="105" spans="2:12" x14ac:dyDescent="0.25">
      <c r="B105" s="76" t="s">
        <v>177</v>
      </c>
      <c r="C105" s="62">
        <f>SUM(C98:C103)</f>
        <v>12194.518589041094</v>
      </c>
      <c r="D105" s="62"/>
      <c r="E105" s="62">
        <f>SUM(E98:E103)</f>
        <v>10837.499000000002</v>
      </c>
      <c r="F105" s="62">
        <f>SUM(F98:F103)</f>
        <v>2789832.8072059569</v>
      </c>
      <c r="G105" s="62">
        <f>SUM(G98:G103)</f>
        <v>1659021.2194165024</v>
      </c>
    </row>
    <row r="106" spans="2:12" x14ac:dyDescent="0.25">
      <c r="B106" s="76"/>
      <c r="C106" s="62"/>
      <c r="D106" s="62"/>
      <c r="E106" s="62"/>
      <c r="F106" s="62"/>
      <c r="G106" s="62"/>
    </row>
    <row r="107" spans="2:12" ht="23.25" x14ac:dyDescent="0.25">
      <c r="B107" s="76" t="s">
        <v>178</v>
      </c>
      <c r="C107" s="62">
        <f>SUM(D90,E90,G90)</f>
        <v>12194.518589041096</v>
      </c>
      <c r="D107" s="62"/>
      <c r="E107" s="62"/>
      <c r="F107" s="62"/>
      <c r="G107" s="62"/>
    </row>
    <row r="108" spans="2:12" x14ac:dyDescent="0.25">
      <c r="B108" s="76"/>
    </row>
    <row r="109" spans="2:12" x14ac:dyDescent="0.25">
      <c r="B109" s="76"/>
    </row>
    <row r="110" spans="2:12" x14ac:dyDescent="0.25">
      <c r="B110" s="68" t="s">
        <v>179</v>
      </c>
      <c r="J110" s="68" t="s">
        <v>180</v>
      </c>
    </row>
    <row r="111" spans="2:12" ht="34.5" x14ac:dyDescent="0.25">
      <c r="B111" s="76" t="s">
        <v>169</v>
      </c>
      <c r="C111" s="78"/>
      <c r="D111" s="62">
        <f>G105</f>
        <v>1659021.2194165024</v>
      </c>
      <c r="E111" s="62"/>
      <c r="J111" s="79" t="s">
        <v>181</v>
      </c>
      <c r="K111" s="80"/>
      <c r="L111" s="81"/>
    </row>
    <row r="112" spans="2:12" ht="34.5" x14ac:dyDescent="0.25">
      <c r="B112" s="76" t="s">
        <v>182</v>
      </c>
      <c r="C112" s="78"/>
      <c r="D112" s="62">
        <f>C91+F91</f>
        <v>1187030.1258658711</v>
      </c>
      <c r="E112" s="62"/>
      <c r="J112" s="82" t="s">
        <v>183</v>
      </c>
      <c r="K112" s="83">
        <f>K101*10^6/D113</f>
        <v>82.413835889132358</v>
      </c>
      <c r="L112" s="84" t="s">
        <v>184</v>
      </c>
    </row>
    <row r="113" spans="2:12" ht="23.25" x14ac:dyDescent="0.25">
      <c r="B113" s="76" t="s">
        <v>185</v>
      </c>
      <c r="C113" s="78"/>
      <c r="D113" s="62">
        <f>SUM(D111:D112)</f>
        <v>2846051.3452823735</v>
      </c>
      <c r="E113" s="62"/>
      <c r="J113" s="82" t="s">
        <v>186</v>
      </c>
      <c r="K113" s="83">
        <f>K102*10^6/D116</f>
        <v>79.50321683766353</v>
      </c>
      <c r="L113" s="84" t="s">
        <v>187</v>
      </c>
    </row>
    <row r="114" spans="2:12" ht="34.5" x14ac:dyDescent="0.25">
      <c r="B114" s="76" t="s">
        <v>188</v>
      </c>
      <c r="C114" s="78"/>
      <c r="D114" s="62">
        <f>F105</f>
        <v>2789832.8072059569</v>
      </c>
      <c r="E114" s="62"/>
      <c r="J114" s="82" t="s">
        <v>189</v>
      </c>
      <c r="K114" s="85">
        <f>2*(ABS(K112-K113))/(K112+K113)</f>
        <v>3.5951976675118243E-2</v>
      </c>
      <c r="L114" s="84" t="s">
        <v>190</v>
      </c>
    </row>
    <row r="115" spans="2:12" ht="34.5" x14ac:dyDescent="0.25">
      <c r="B115" s="76" t="s">
        <v>191</v>
      </c>
      <c r="C115" s="78"/>
      <c r="D115" s="62">
        <f>SUM(D91,E91,G91)</f>
        <v>2788039.2572268853</v>
      </c>
      <c r="E115" s="62"/>
    </row>
    <row r="116" spans="2:12" ht="34.5" x14ac:dyDescent="0.25">
      <c r="B116" s="76" t="s">
        <v>192</v>
      </c>
      <c r="C116" s="78"/>
      <c r="D116" s="62">
        <f>SUM(D114:D115)</f>
        <v>5577872.0644328427</v>
      </c>
      <c r="E116" s="62"/>
    </row>
    <row r="117" spans="2:12" x14ac:dyDescent="0.25">
      <c r="D117" s="62"/>
      <c r="E117" s="62"/>
    </row>
    <row r="118" spans="2:12" x14ac:dyDescent="0.25">
      <c r="D118" s="62"/>
      <c r="E118" s="62"/>
    </row>
    <row r="123" spans="2:12" x14ac:dyDescent="0.25">
      <c r="E123" s="62"/>
    </row>
  </sheetData>
  <conditionalFormatting sqref="K114">
    <cfRule type="cellIs" dxfId="5" priority="1" operator="lessThan">
      <formula>0.1</formula>
    </cfRule>
    <cfRule type="cellIs" dxfId="4" priority="2" operator="greaterThan">
      <formula>0.1</formula>
    </cfRule>
  </conditionalFormatting>
  <dataValidations count="1">
    <dataValidation type="list" allowBlank="1" showInputMessage="1" showErrorMessage="1" sqref="F12" xr:uid="{00000000-0002-0000-2300-000000000000}">
      <formula1>"Nybro (P1),New entry point (BP1)"</formula1>
    </dataValidation>
  </dataValidations>
  <pageMargins left="0.7" right="0.7" top="0.75" bottom="0.75" header="0.3" footer="0.3"/>
  <pageSetup paperSize="9" orientation="portrait" verticalDpi="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FF0000"/>
  </sheetPr>
  <dimension ref="A1:R126"/>
  <sheetViews>
    <sheetView topLeftCell="A94" workbookViewId="0">
      <selection activeCell="A25" sqref="A25"/>
    </sheetView>
  </sheetViews>
  <sheetFormatPr defaultColWidth="9.140625" defaultRowHeight="15" x14ac:dyDescent="0.25"/>
  <cols>
    <col min="1" max="2" width="9.140625" style="53"/>
    <col min="3" max="3" width="9.42578125" style="53" bestFit="1" customWidth="1"/>
    <col min="4" max="6" width="10" style="53" bestFit="1" customWidth="1"/>
    <col min="7" max="7" width="10.5703125" style="53" bestFit="1" customWidth="1"/>
    <col min="8" max="9" width="9.140625" style="53"/>
    <col min="10" max="10" width="17.140625" style="53" customWidth="1"/>
    <col min="11" max="16" width="9.42578125" style="53" bestFit="1" customWidth="1"/>
    <col min="17"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Capacities'!G16*10^(-3)</f>
        <v>2562.5</v>
      </c>
      <c r="F18" s="61"/>
      <c r="G18" s="60"/>
      <c r="H18" s="60"/>
      <c r="I18" s="60"/>
      <c r="J18" s="61" t="s">
        <v>68</v>
      </c>
      <c r="K18" s="61">
        <v>56.8</v>
      </c>
      <c r="L18" s="61">
        <v>0</v>
      </c>
      <c r="M18" s="61">
        <f>'Forecasted Capacities'!G13*10^(-3)</f>
        <v>1200</v>
      </c>
      <c r="N18" s="64"/>
      <c r="R18" s="62"/>
    </row>
    <row r="19" spans="1:18" x14ac:dyDescent="0.25">
      <c r="B19" s="61" t="s">
        <v>73</v>
      </c>
      <c r="C19" s="61">
        <v>56.8</v>
      </c>
      <c r="D19" s="61">
        <v>93</v>
      </c>
      <c r="E19" s="61">
        <f>'Forecasted Capacities'!G18*10^(-3)</f>
        <v>887.50000000000011</v>
      </c>
      <c r="F19" s="61"/>
      <c r="G19" s="60"/>
      <c r="H19" s="60"/>
      <c r="I19" s="60"/>
      <c r="J19" s="61" t="s">
        <v>66</v>
      </c>
      <c r="K19" s="61">
        <v>275.39999999999998</v>
      </c>
      <c r="L19" s="61">
        <v>93</v>
      </c>
      <c r="M19" s="61">
        <f>'Forecasted Capacities'!G12*10^(-3)</f>
        <v>1E-3</v>
      </c>
      <c r="N19" s="61"/>
      <c r="R19" s="62"/>
    </row>
    <row r="20" spans="1:18" x14ac:dyDescent="0.25">
      <c r="B20" s="61" t="s">
        <v>68</v>
      </c>
      <c r="C20" s="61">
        <v>56.8</v>
      </c>
      <c r="D20" s="61">
        <v>0</v>
      </c>
      <c r="E20" s="61">
        <f>'Forecasted Capacities'!G17*10^(-3)</f>
        <v>1587.5</v>
      </c>
      <c r="F20" s="61"/>
      <c r="G20" s="60"/>
      <c r="H20" s="60"/>
      <c r="I20" s="60"/>
      <c r="J20" s="61" t="s">
        <v>64</v>
      </c>
      <c r="K20" s="61">
        <v>190</v>
      </c>
      <c r="L20" s="61">
        <v>93</v>
      </c>
      <c r="M20" s="61">
        <f>'Forecasted Capacities'!G11*10^(-3)</f>
        <v>3395.8333333333335</v>
      </c>
      <c r="N20" s="61"/>
      <c r="R20" s="62"/>
    </row>
    <row r="21" spans="1:18" x14ac:dyDescent="0.25">
      <c r="B21" s="61" t="s">
        <v>96</v>
      </c>
      <c r="C21" s="61">
        <v>97.8</v>
      </c>
      <c r="D21" s="61">
        <v>93</v>
      </c>
      <c r="E21" s="61">
        <f>'Forecasted Capacities'!G22*10^(-3)</f>
        <v>7000</v>
      </c>
      <c r="F21" s="61"/>
      <c r="G21" s="60"/>
      <c r="H21" s="60"/>
      <c r="I21" s="60"/>
      <c r="J21" s="61" t="s">
        <v>96</v>
      </c>
      <c r="K21" s="61">
        <v>97.8</v>
      </c>
      <c r="L21" s="61">
        <v>93</v>
      </c>
      <c r="M21" s="61">
        <f>'Forecasted Capacities'!G21*10^(-3)</f>
        <v>4000</v>
      </c>
      <c r="N21" s="61"/>
      <c r="R21" s="62"/>
    </row>
    <row r="22" spans="1:18" x14ac:dyDescent="0.25">
      <c r="B22" s="61" t="s">
        <v>79</v>
      </c>
      <c r="C22" s="233">
        <v>0</v>
      </c>
      <c r="D22" s="233">
        <v>150</v>
      </c>
      <c r="E22" s="61">
        <f>'Forecasted Capacities'!G19*10^(-3)</f>
        <v>10994.517589041096</v>
      </c>
      <c r="F22" s="60"/>
      <c r="G22" s="60"/>
      <c r="H22" s="60"/>
      <c r="I22" s="60"/>
      <c r="J22" s="61" t="s">
        <v>77</v>
      </c>
      <c r="K22" s="233">
        <v>200</v>
      </c>
      <c r="L22" s="233">
        <v>50</v>
      </c>
      <c r="M22" s="61">
        <f>'Forecasted Capacities'!G14*10^(-3)</f>
        <v>10994.517589041096</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23032.017589041097</v>
      </c>
      <c r="F24" s="60"/>
      <c r="G24" s="60"/>
      <c r="H24" s="60"/>
      <c r="I24" s="60"/>
      <c r="J24" s="60"/>
      <c r="K24" s="60"/>
      <c r="L24" s="60"/>
      <c r="M24" s="65">
        <f>SUM(M18:M22)</f>
        <v>19590.35192237443</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'30. Current tariff method 25'!B13+'30. Current tariff method 25'!B14</f>
        <v>968.58968676213726</v>
      </c>
      <c r="F26" s="60"/>
      <c r="G26" s="60"/>
      <c r="H26" s="60"/>
      <c r="I26" s="60"/>
      <c r="J26" s="60"/>
      <c r="K26" s="60"/>
      <c r="L26" s="60"/>
      <c r="M26" s="60"/>
      <c r="N26" s="60"/>
    </row>
    <row r="27" spans="1:18" x14ac:dyDescent="0.25">
      <c r="A27" s="63" t="s">
        <v>99</v>
      </c>
      <c r="B27" s="60"/>
      <c r="C27" s="61" t="s">
        <v>100</v>
      </c>
      <c r="D27" s="60"/>
      <c r="E27" s="61">
        <f>'30. Current tariff method 25'!B14</f>
        <v>678.01278073349602</v>
      </c>
      <c r="F27" s="60"/>
      <c r="G27" s="60"/>
      <c r="H27" s="60"/>
      <c r="I27" s="60"/>
      <c r="J27" s="60"/>
      <c r="K27" s="60"/>
      <c r="L27" s="60"/>
      <c r="M27" s="60"/>
      <c r="N27" s="60"/>
    </row>
    <row r="28" spans="1:18" x14ac:dyDescent="0.25">
      <c r="A28" s="63" t="s">
        <v>101</v>
      </c>
      <c r="B28" s="60"/>
      <c r="C28" s="61" t="s">
        <v>102</v>
      </c>
      <c r="D28" s="61"/>
      <c r="E28" s="61">
        <v>0.5</v>
      </c>
      <c r="F28" s="60"/>
      <c r="G28" s="60"/>
      <c r="H28" s="60"/>
      <c r="I28" s="60"/>
      <c r="J28" s="60"/>
      <c r="K28" s="60"/>
      <c r="L28" s="60"/>
      <c r="M28" s="60"/>
      <c r="N28" s="60"/>
    </row>
    <row r="29" spans="1:18" x14ac:dyDescent="0.25">
      <c r="A29" s="63" t="s">
        <v>101</v>
      </c>
      <c r="B29" s="60"/>
      <c r="C29" s="61" t="s">
        <v>103</v>
      </c>
      <c r="D29" s="61"/>
      <c r="E29" s="61">
        <f>E27*E28</f>
        <v>339.00639036674801</v>
      </c>
      <c r="F29" s="60"/>
      <c r="G29" s="60"/>
      <c r="H29" s="60"/>
      <c r="I29" s="60"/>
      <c r="J29" s="60"/>
      <c r="K29" s="60"/>
      <c r="L29" s="60"/>
      <c r="N29" s="60"/>
    </row>
    <row r="30" spans="1:18" x14ac:dyDescent="0.25">
      <c r="B30" s="60"/>
      <c r="C30" s="61" t="s">
        <v>104</v>
      </c>
      <c r="D30" s="61"/>
      <c r="E30" s="61">
        <f>E27*(1-E28)</f>
        <v>339.00639036674801</v>
      </c>
      <c r="F30" s="60"/>
      <c r="G30" s="60"/>
      <c r="H30" s="60"/>
      <c r="I30" s="60"/>
      <c r="J30" s="60"/>
      <c r="K30" s="60"/>
      <c r="L30" s="60"/>
      <c r="M30" s="60"/>
      <c r="N30" s="60"/>
    </row>
    <row r="31" spans="1:18" x14ac:dyDescent="0.25">
      <c r="B31" s="60"/>
      <c r="C31" s="61" t="s">
        <v>105</v>
      </c>
      <c r="D31" s="60"/>
      <c r="E31" s="61">
        <f>'30. Current tariff method 25'!B13</f>
        <v>290.57690602864125</v>
      </c>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 t="shared" ref="K37:L41" si="0">$M18</f>
        <v>1200</v>
      </c>
      <c r="L37" s="62">
        <f t="shared" si="0"/>
        <v>1200</v>
      </c>
      <c r="M37" s="62">
        <v>0</v>
      </c>
      <c r="N37" s="62">
        <f>$M18</f>
        <v>1200</v>
      </c>
      <c r="O37" s="62">
        <f t="shared" ref="O37:P41" si="1">$M18</f>
        <v>1200</v>
      </c>
      <c r="P37" s="62">
        <f t="shared" si="1"/>
        <v>1200</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1E-3</v>
      </c>
      <c r="L38" s="62">
        <f t="shared" si="0"/>
        <v>1E-3</v>
      </c>
      <c r="M38" s="62">
        <f>$M19</f>
        <v>1E-3</v>
      </c>
      <c r="N38" s="62">
        <f>$M19</f>
        <v>1E-3</v>
      </c>
      <c r="O38" s="62">
        <f t="shared" si="1"/>
        <v>1E-3</v>
      </c>
      <c r="P38" s="62">
        <f t="shared" si="1"/>
        <v>1E-3</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3395.8333333333335</v>
      </c>
      <c r="L39" s="62">
        <f t="shared" si="0"/>
        <v>3395.8333333333335</v>
      </c>
      <c r="M39" s="62">
        <f>$M20</f>
        <v>3395.8333333333335</v>
      </c>
      <c r="N39" s="62">
        <f>$M20</f>
        <v>3395.8333333333335</v>
      </c>
      <c r="O39" s="62">
        <f t="shared" si="1"/>
        <v>3395.8333333333335</v>
      </c>
      <c r="P39" s="62">
        <f t="shared" si="1"/>
        <v>3395.8333333333335</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4000</v>
      </c>
      <c r="L40" s="62">
        <f t="shared" si="0"/>
        <v>4000</v>
      </c>
      <c r="M40" s="62">
        <f>$M21</f>
        <v>4000</v>
      </c>
      <c r="N40" s="62">
        <v>0</v>
      </c>
      <c r="O40" s="62">
        <f t="shared" si="1"/>
        <v>4000</v>
      </c>
      <c r="P40" s="62">
        <f t="shared" si="1"/>
        <v>4000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10994.517589041096</v>
      </c>
      <c r="L41" s="62">
        <f t="shared" si="0"/>
        <v>10994.517589041096</v>
      </c>
      <c r="M41" s="62">
        <f>$M22</f>
        <v>10994.517589041096</v>
      </c>
      <c r="N41" s="62">
        <f>$M22</f>
        <v>10994.517589041096</v>
      </c>
      <c r="O41" s="62">
        <f t="shared" si="1"/>
        <v>10994.517589041096</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19590.35192237443</v>
      </c>
      <c r="L43" s="70">
        <f t="shared" ref="L43:P43" si="2">SUM(L37:L41)</f>
        <v>19590.35192237443</v>
      </c>
      <c r="M43" s="70">
        <f t="shared" si="2"/>
        <v>18390.35192237443</v>
      </c>
      <c r="N43" s="70">
        <f t="shared" si="2"/>
        <v>15590.35192237443</v>
      </c>
      <c r="O43" s="70">
        <f>SUM(O37:O41)</f>
        <v>19590.35192237443</v>
      </c>
      <c r="P43" s="70">
        <f t="shared" si="2"/>
        <v>8595.8343333333323</v>
      </c>
    </row>
    <row r="45" spans="1:16" x14ac:dyDescent="0.25">
      <c r="B45" s="68" t="s">
        <v>110</v>
      </c>
      <c r="C45" s="68"/>
      <c r="D45" s="68"/>
      <c r="E45" s="68" t="s">
        <v>111</v>
      </c>
      <c r="F45" s="68"/>
      <c r="G45" s="68"/>
      <c r="H45" s="68"/>
      <c r="I45" s="68"/>
      <c r="J45" s="68" t="s">
        <v>113</v>
      </c>
      <c r="K45" s="68"/>
    </row>
    <row r="46" spans="1:16" x14ac:dyDescent="0.25">
      <c r="A46" s="63" t="s">
        <v>114</v>
      </c>
      <c r="B46" s="62"/>
      <c r="C46" s="69" t="s">
        <v>115</v>
      </c>
      <c r="D46" s="69"/>
      <c r="E46" s="69" t="s">
        <v>116</v>
      </c>
      <c r="F46" s="62"/>
      <c r="G46" s="62"/>
      <c r="H46" s="69"/>
      <c r="I46" s="62"/>
      <c r="J46" s="69" t="s">
        <v>118</v>
      </c>
      <c r="K46" s="69" t="s">
        <v>8</v>
      </c>
    </row>
    <row r="47" spans="1:16" x14ac:dyDescent="0.25">
      <c r="B47" s="62" t="s">
        <v>70</v>
      </c>
      <c r="C47" s="62">
        <f>MMULT(C37:G37,K37:K41)/K43</f>
        <v>198.45668920474901</v>
      </c>
      <c r="D47" s="62"/>
      <c r="E47" s="62">
        <f>SUMPRODUCT(C47:C52,E18:E23)</f>
        <v>4668381.6581672821</v>
      </c>
      <c r="F47" s="62"/>
      <c r="G47" s="62"/>
      <c r="H47" s="62"/>
      <c r="I47" s="62"/>
      <c r="J47" s="69" t="s">
        <v>26</v>
      </c>
      <c r="K47" s="62" t="s">
        <v>68</v>
      </c>
      <c r="L47" s="62" t="s">
        <v>66</v>
      </c>
      <c r="M47" s="62" t="s">
        <v>64</v>
      </c>
      <c r="N47" s="62" t="s">
        <v>96</v>
      </c>
      <c r="O47" s="62" t="s">
        <v>77</v>
      </c>
    </row>
    <row r="48" spans="1:16" x14ac:dyDescent="0.25">
      <c r="B48" s="62" t="s">
        <v>73</v>
      </c>
      <c r="C48" s="62">
        <f>MMULT(C38:G38,L37:L41)/L43</f>
        <v>141.65668920474903</v>
      </c>
      <c r="D48" s="62"/>
      <c r="E48" s="62"/>
      <c r="F48" s="62"/>
      <c r="G48" s="62"/>
      <c r="H48" s="62"/>
      <c r="I48" s="62"/>
      <c r="J48" s="62" t="s">
        <v>70</v>
      </c>
      <c r="K48" s="62">
        <f t="shared" ref="K48:O49" si="3">$E18</f>
        <v>2562.5</v>
      </c>
      <c r="L48" s="62">
        <f t="shared" si="3"/>
        <v>2562.5</v>
      </c>
      <c r="M48" s="62">
        <f t="shared" si="3"/>
        <v>2562.5</v>
      </c>
      <c r="N48" s="62">
        <f t="shared" si="3"/>
        <v>2562.5</v>
      </c>
      <c r="O48" s="62">
        <f t="shared" si="3"/>
        <v>2562.5</v>
      </c>
    </row>
    <row r="49" spans="2:15" x14ac:dyDescent="0.25">
      <c r="B49" s="62" t="s">
        <v>68</v>
      </c>
      <c r="C49" s="62">
        <f>MMULT(C39:G39,M37:M41)/M43</f>
        <v>186.417237923096</v>
      </c>
      <c r="D49" s="62"/>
      <c r="E49" s="62"/>
      <c r="F49" s="62"/>
      <c r="G49" s="62"/>
      <c r="H49" s="62"/>
      <c r="I49" s="62"/>
      <c r="J49" s="62" t="s">
        <v>73</v>
      </c>
      <c r="K49" s="62">
        <f t="shared" si="3"/>
        <v>887.50000000000011</v>
      </c>
      <c r="L49" s="62">
        <f t="shared" si="3"/>
        <v>887.50000000000011</v>
      </c>
      <c r="M49" s="62">
        <f t="shared" si="3"/>
        <v>887.50000000000011</v>
      </c>
      <c r="N49" s="62">
        <f t="shared" si="3"/>
        <v>887.50000000000011</v>
      </c>
      <c r="O49" s="62">
        <f t="shared" si="3"/>
        <v>887.50000000000011</v>
      </c>
    </row>
    <row r="50" spans="2:15" x14ac:dyDescent="0.25">
      <c r="B50" s="62" t="s">
        <v>96</v>
      </c>
      <c r="C50" s="62">
        <f>MMULT(C40:G40,N37:N41)/N43</f>
        <v>132.79366464402369</v>
      </c>
      <c r="D50" s="62"/>
      <c r="E50" s="62"/>
      <c r="F50" s="62"/>
      <c r="G50" s="62"/>
      <c r="H50" s="62"/>
      <c r="I50" s="62"/>
      <c r="J50" s="62" t="s">
        <v>68</v>
      </c>
      <c r="K50" s="62">
        <v>0</v>
      </c>
      <c r="L50" s="62">
        <f>$E20</f>
        <v>1587.5</v>
      </c>
      <c r="M50" s="62">
        <f>$E20</f>
        <v>1587.5</v>
      </c>
      <c r="N50" s="62">
        <f>$E20</f>
        <v>1587.5</v>
      </c>
      <c r="O50" s="62">
        <f>$E20</f>
        <v>1587.5</v>
      </c>
    </row>
    <row r="51" spans="2:15" x14ac:dyDescent="0.25">
      <c r="B51" s="62" t="s">
        <v>79</v>
      </c>
      <c r="C51" s="62">
        <f>MMULT(C41:G41,O37:O41)/O43</f>
        <v>255.45668920474901</v>
      </c>
      <c r="H51" s="62"/>
      <c r="J51" s="62" t="s">
        <v>96</v>
      </c>
      <c r="K51" s="62">
        <f>$E21</f>
        <v>7000</v>
      </c>
      <c r="L51" s="62">
        <f>$E21</f>
        <v>7000</v>
      </c>
      <c r="M51" s="62">
        <f>$E21</f>
        <v>7000</v>
      </c>
      <c r="N51" s="62">
        <v>0</v>
      </c>
      <c r="O51" s="62">
        <f>$E21</f>
        <v>7000</v>
      </c>
    </row>
    <row r="52" spans="2:15" x14ac:dyDescent="0.25">
      <c r="B52" s="62" t="s">
        <v>77</v>
      </c>
      <c r="C52" s="62">
        <f>MMULT(C42:G42,P37:P41)/P43</f>
        <v>128.45981463191686</v>
      </c>
      <c r="H52" s="62"/>
      <c r="J52" s="62" t="s">
        <v>79</v>
      </c>
      <c r="K52" s="62">
        <f>$E22</f>
        <v>10994.517589041096</v>
      </c>
      <c r="L52" s="62">
        <f t="shared" ref="L52:O53" si="4">$E22</f>
        <v>10994.517589041096</v>
      </c>
      <c r="M52" s="62">
        <f t="shared" si="4"/>
        <v>10994.517589041096</v>
      </c>
      <c r="N52" s="62">
        <f t="shared" si="4"/>
        <v>10994.517589041096</v>
      </c>
      <c r="O52" s="62">
        <f t="shared" si="4"/>
        <v>10994.517589041096</v>
      </c>
    </row>
    <row r="53" spans="2:15" x14ac:dyDescent="0.25">
      <c r="C53" s="62"/>
      <c r="H53" s="62"/>
      <c r="J53" s="62" t="s">
        <v>77</v>
      </c>
      <c r="K53" s="62">
        <f>$E23</f>
        <v>0</v>
      </c>
      <c r="L53" s="62">
        <f t="shared" si="4"/>
        <v>0</v>
      </c>
      <c r="M53" s="62">
        <f t="shared" si="4"/>
        <v>0</v>
      </c>
      <c r="N53" s="62">
        <f t="shared" si="4"/>
        <v>0</v>
      </c>
      <c r="O53" s="62">
        <v>0</v>
      </c>
    </row>
    <row r="54" spans="2:15" x14ac:dyDescent="0.25">
      <c r="C54" s="62"/>
      <c r="H54" s="62"/>
      <c r="J54" s="62"/>
      <c r="K54" s="62"/>
      <c r="L54" s="62"/>
      <c r="M54" s="62"/>
      <c r="N54" s="62"/>
    </row>
    <row r="55" spans="2:15" x14ac:dyDescent="0.25">
      <c r="J55" s="70" t="s">
        <v>14</v>
      </c>
      <c r="K55" s="70">
        <f>SUM(K48:K53)</f>
        <v>21444.517589041097</v>
      </c>
      <c r="L55" s="70">
        <f t="shared" ref="L55:O55" si="5">SUM(L48:L53)</f>
        <v>23032.017589041097</v>
      </c>
      <c r="M55" s="70">
        <f t="shared" si="5"/>
        <v>23032.017589041097</v>
      </c>
      <c r="N55" s="70">
        <f t="shared" si="5"/>
        <v>16032.017589041096</v>
      </c>
      <c r="O55" s="70">
        <f t="shared" si="5"/>
        <v>23032.017589041097</v>
      </c>
    </row>
    <row r="57" spans="2:15" x14ac:dyDescent="0.25">
      <c r="B57" s="68" t="s">
        <v>119</v>
      </c>
      <c r="C57" s="68"/>
      <c r="D57" s="68"/>
      <c r="E57" s="68" t="s">
        <v>120</v>
      </c>
      <c r="F57" s="68"/>
      <c r="G57" s="68"/>
      <c r="H57" s="68"/>
      <c r="I57" s="68"/>
      <c r="J57" s="98" t="s">
        <v>196</v>
      </c>
      <c r="K57" s="99"/>
      <c r="L57" s="100"/>
      <c r="M57" s="101"/>
      <c r="N57" s="102"/>
    </row>
    <row r="58" spans="2:15" x14ac:dyDescent="0.25">
      <c r="B58" s="62"/>
      <c r="C58" s="69" t="s">
        <v>122</v>
      </c>
      <c r="D58" s="69"/>
      <c r="E58" s="69" t="s">
        <v>116</v>
      </c>
      <c r="F58" s="69"/>
      <c r="G58" s="69"/>
      <c r="H58" s="69"/>
      <c r="J58" s="103"/>
      <c r="K58" s="88"/>
      <c r="L58" s="88"/>
      <c r="M58" s="38"/>
      <c r="N58" s="39"/>
    </row>
    <row r="59" spans="2:15" x14ac:dyDescent="0.25">
      <c r="B59" s="62" t="s">
        <v>68</v>
      </c>
      <c r="C59" s="62">
        <f>SUMPRODUCT(K48:K53,C37:C42)/K55</f>
        <v>171.515457139186</v>
      </c>
      <c r="E59" s="62">
        <f>SUMPRODUCT(C59:C63,M18:M22)</f>
        <v>3975069.3830927564</v>
      </c>
      <c r="F59" s="62"/>
      <c r="G59" s="62"/>
      <c r="H59" s="62"/>
      <c r="J59" s="104" t="s">
        <v>135</v>
      </c>
      <c r="K59" s="105" t="s">
        <v>136</v>
      </c>
      <c r="L59" s="88"/>
      <c r="M59" s="38"/>
      <c r="N59" s="39"/>
    </row>
    <row r="60" spans="2:15" x14ac:dyDescent="0.25">
      <c r="B60" s="62" t="s">
        <v>66</v>
      </c>
      <c r="C60" s="62">
        <f>SUMPRODUCT(L48:L53,D37:D42)/L55</f>
        <v>273.19198686228617</v>
      </c>
      <c r="E60" s="62"/>
      <c r="F60" s="62"/>
      <c r="G60" s="62"/>
      <c r="H60" s="62"/>
      <c r="J60" s="106">
        <f>M85</f>
        <v>2.0526772365145787E-2</v>
      </c>
      <c r="K60" s="107">
        <f>J60*E18</f>
        <v>52.599854185686077</v>
      </c>
      <c r="L60" s="107"/>
      <c r="M60" s="38"/>
      <c r="N60" s="39"/>
    </row>
    <row r="61" spans="2:15" x14ac:dyDescent="0.25">
      <c r="B61" s="62" t="s">
        <v>64</v>
      </c>
      <c r="C61" s="62">
        <f>SUMPRODUCT(M48:M53,E37:E42)/M55</f>
        <v>187.79198686228622</v>
      </c>
      <c r="E61" s="62"/>
      <c r="F61" s="62"/>
      <c r="G61" s="62"/>
      <c r="H61" s="62"/>
      <c r="J61" s="106">
        <f>M85</f>
        <v>2.0526772365145787E-2</v>
      </c>
      <c r="K61" s="107">
        <f t="shared" ref="K61:K65" si="6">J61*E19</f>
        <v>18.217510474066888</v>
      </c>
      <c r="L61" s="107"/>
      <c r="M61" s="38"/>
      <c r="N61" s="39"/>
    </row>
    <row r="62" spans="2:15" x14ac:dyDescent="0.25">
      <c r="B62" s="62" t="s">
        <v>96</v>
      </c>
      <c r="C62" s="62">
        <f>SUMPRODUCT(N48:N53,F37:F42)/N55</f>
        <v>137.32995928650598</v>
      </c>
      <c r="E62" s="62"/>
      <c r="F62" s="62"/>
      <c r="G62" s="62"/>
      <c r="H62" s="62"/>
      <c r="J62" s="106">
        <f>M84</f>
        <v>2.4922911589464605E-2</v>
      </c>
      <c r="K62" s="107">
        <f t="shared" si="6"/>
        <v>39.565122148275059</v>
      </c>
      <c r="L62" s="107"/>
      <c r="M62" s="88"/>
      <c r="N62" s="108"/>
    </row>
    <row r="63" spans="2:15" x14ac:dyDescent="0.25">
      <c r="B63" s="62" t="s">
        <v>77</v>
      </c>
      <c r="C63" s="62">
        <f>SUMPRODUCT(O48:O53,G37:G42)/O55</f>
        <v>234.86436895073334</v>
      </c>
      <c r="E63" s="62"/>
      <c r="F63" s="62"/>
      <c r="G63" s="62"/>
      <c r="H63" s="62"/>
      <c r="J63" s="106">
        <v>0</v>
      </c>
      <c r="K63" s="107">
        <f t="shared" si="6"/>
        <v>0</v>
      </c>
      <c r="L63" s="107"/>
      <c r="M63" s="88"/>
      <c r="N63" s="108"/>
    </row>
    <row r="64" spans="2:15" x14ac:dyDescent="0.25">
      <c r="B64" s="62"/>
      <c r="C64" s="62"/>
      <c r="E64" s="62"/>
      <c r="F64" s="62"/>
      <c r="G64" s="62"/>
      <c r="H64" s="62"/>
      <c r="J64" s="106">
        <f>M88</f>
        <v>2.0526772365145787E-2</v>
      </c>
      <c r="K64" s="107">
        <f t="shared" si="6"/>
        <v>225.68195981483805</v>
      </c>
      <c r="L64" s="107"/>
      <c r="M64" s="88"/>
      <c r="N64" s="108"/>
    </row>
    <row r="65" spans="1:17" x14ac:dyDescent="0.25">
      <c r="B65" s="62"/>
      <c r="C65" s="62"/>
      <c r="E65" s="62"/>
      <c r="F65" s="62"/>
      <c r="G65" s="62"/>
      <c r="H65" s="62"/>
      <c r="J65" s="106">
        <f>M88</f>
        <v>2.0526772365145787E-2</v>
      </c>
      <c r="K65" s="107">
        <f t="shared" si="6"/>
        <v>0</v>
      </c>
      <c r="L65" s="107"/>
      <c r="M65" s="88"/>
      <c r="N65" s="108"/>
    </row>
    <row r="66" spans="1:17" x14ac:dyDescent="0.25">
      <c r="A66" s="90"/>
      <c r="B66" s="90"/>
      <c r="C66" s="90"/>
      <c r="D66" s="90"/>
      <c r="E66" s="90"/>
      <c r="F66" s="90"/>
      <c r="G66" s="90"/>
      <c r="H66" s="90"/>
      <c r="I66" s="90"/>
      <c r="J66" s="106"/>
      <c r="K66" s="107"/>
      <c r="L66" s="107"/>
      <c r="M66" s="88"/>
      <c r="N66" s="108"/>
      <c r="O66" s="88"/>
      <c r="P66" s="90"/>
      <c r="Q66" s="97"/>
    </row>
    <row r="67" spans="1:17" x14ac:dyDescent="0.25">
      <c r="I67" s="93"/>
      <c r="J67" s="103"/>
      <c r="K67" s="109">
        <f>SUM(K60:K65)</f>
        <v>336.06444662286606</v>
      </c>
      <c r="L67" s="88"/>
      <c r="M67" s="88"/>
      <c r="N67" s="108"/>
      <c r="O67" s="88"/>
    </row>
    <row r="68" spans="1:17" x14ac:dyDescent="0.25">
      <c r="I68" s="90"/>
      <c r="J68" s="103"/>
      <c r="K68" s="88"/>
      <c r="L68" s="88"/>
      <c r="M68" s="88"/>
      <c r="N68" s="108"/>
      <c r="O68" s="90"/>
    </row>
    <row r="69" spans="1:17" x14ac:dyDescent="0.25">
      <c r="J69" s="103"/>
      <c r="K69" s="88"/>
      <c r="L69" s="88"/>
      <c r="M69" s="88"/>
      <c r="N69" s="108"/>
      <c r="O69" s="90"/>
    </row>
    <row r="70" spans="1:17" x14ac:dyDescent="0.25">
      <c r="J70" s="110" t="s">
        <v>197</v>
      </c>
      <c r="K70" s="111"/>
      <c r="L70" s="88"/>
      <c r="M70" s="88"/>
      <c r="N70" s="108"/>
      <c r="O70" s="90"/>
    </row>
    <row r="71" spans="1:17" x14ac:dyDescent="0.25">
      <c r="J71" s="103"/>
      <c r="K71" s="88"/>
      <c r="L71" s="88"/>
      <c r="M71" s="88"/>
      <c r="N71" s="108"/>
      <c r="O71" s="90"/>
    </row>
    <row r="72" spans="1:17" x14ac:dyDescent="0.25">
      <c r="J72" s="104" t="s">
        <v>149</v>
      </c>
      <c r="K72" s="105" t="s">
        <v>150</v>
      </c>
      <c r="L72" s="88"/>
      <c r="M72" s="88"/>
      <c r="N72" s="108"/>
      <c r="O72" s="90"/>
    </row>
    <row r="73" spans="1:17" x14ac:dyDescent="0.25">
      <c r="J73" s="106">
        <f>M86</f>
        <v>2.0526772365145787E-2</v>
      </c>
      <c r="K73" s="107">
        <f>J73*M18</f>
        <v>24.632126838174944</v>
      </c>
      <c r="L73" s="107"/>
      <c r="M73" s="88"/>
      <c r="N73" s="108"/>
      <c r="O73" s="90"/>
    </row>
    <row r="74" spans="1:17" x14ac:dyDescent="0.25">
      <c r="J74" s="106">
        <f>M87</f>
        <v>2.6984310323427733E-2</v>
      </c>
      <c r="K74" s="107">
        <f t="shared" ref="K74:K77" si="7">J74*M19</f>
        <v>2.6984310323427733E-5</v>
      </c>
      <c r="L74" s="107"/>
      <c r="M74" s="88"/>
      <c r="N74" s="108"/>
      <c r="O74" s="90"/>
    </row>
    <row r="75" spans="1:17" x14ac:dyDescent="0.25">
      <c r="J75" s="106">
        <f>M87</f>
        <v>2.6984310323427733E-2</v>
      </c>
      <c r="K75" s="107">
        <f t="shared" si="7"/>
        <v>91.634220473306684</v>
      </c>
      <c r="L75" s="107"/>
      <c r="M75" s="88"/>
      <c r="N75" s="108"/>
      <c r="O75" s="90"/>
    </row>
    <row r="76" spans="1:17" x14ac:dyDescent="0.25">
      <c r="A76" s="90"/>
      <c r="B76" s="94"/>
      <c r="C76" s="94"/>
      <c r="D76" s="94"/>
      <c r="J76" s="106">
        <v>0</v>
      </c>
      <c r="K76" s="107">
        <f t="shared" si="7"/>
        <v>0</v>
      </c>
      <c r="L76" s="107"/>
      <c r="M76" s="88"/>
      <c r="N76" s="108"/>
      <c r="O76" s="90"/>
    </row>
    <row r="77" spans="1:17" x14ac:dyDescent="0.25">
      <c r="A77" s="90"/>
      <c r="B77" s="94"/>
      <c r="C77" s="94"/>
      <c r="D77" s="94"/>
      <c r="J77" s="106">
        <f>M88</f>
        <v>2.0526772365145787E-2</v>
      </c>
      <c r="K77" s="107">
        <f t="shared" si="7"/>
        <v>225.68195981483805</v>
      </c>
      <c r="L77" s="107"/>
      <c r="M77" s="88"/>
      <c r="N77" s="108"/>
      <c r="O77" s="90"/>
    </row>
    <row r="78" spans="1:17" x14ac:dyDescent="0.25">
      <c r="A78" s="90"/>
      <c r="B78" s="95"/>
      <c r="C78" s="95"/>
      <c r="D78" s="95"/>
      <c r="J78" s="106"/>
      <c r="K78" s="107"/>
      <c r="L78" s="107"/>
      <c r="M78" s="88"/>
      <c r="N78" s="108"/>
      <c r="O78" s="90"/>
    </row>
    <row r="79" spans="1:17" x14ac:dyDescent="0.25">
      <c r="A79" s="90"/>
      <c r="J79" s="103"/>
      <c r="K79" s="109">
        <f>SUM(K73:K77)</f>
        <v>341.94833411063001</v>
      </c>
      <c r="L79" s="88"/>
      <c r="M79" s="88"/>
      <c r="N79" s="108"/>
      <c r="O79" s="90"/>
    </row>
    <row r="80" spans="1:17" x14ac:dyDescent="0.25">
      <c r="A80" s="90"/>
      <c r="J80" s="113"/>
      <c r="K80" s="38"/>
      <c r="L80" s="38"/>
      <c r="M80" s="88"/>
      <c r="N80" s="108"/>
      <c r="O80" s="90"/>
    </row>
    <row r="81" spans="1:15" x14ac:dyDescent="0.25">
      <c r="A81" s="90"/>
      <c r="H81" s="90"/>
      <c r="J81" s="113"/>
      <c r="K81" s="38"/>
      <c r="L81" s="38"/>
      <c r="M81" s="88"/>
      <c r="N81" s="108"/>
      <c r="O81" s="90"/>
    </row>
    <row r="82" spans="1:15" x14ac:dyDescent="0.25">
      <c r="A82" s="90"/>
      <c r="H82" s="90"/>
      <c r="J82" s="114"/>
      <c r="K82" s="115"/>
      <c r="L82" s="115"/>
      <c r="M82" s="115"/>
      <c r="N82" s="116"/>
      <c r="O82" s="90"/>
    </row>
    <row r="83" spans="1:15" x14ac:dyDescent="0.25">
      <c r="A83" s="90"/>
      <c r="B83" s="90"/>
      <c r="C83" s="90"/>
      <c r="D83" s="90"/>
      <c r="E83" s="112"/>
      <c r="F83" s="90"/>
      <c r="G83" s="90"/>
      <c r="H83" s="90"/>
      <c r="J83" s="114"/>
      <c r="K83" s="115" t="s">
        <v>30</v>
      </c>
      <c r="L83" s="115"/>
      <c r="M83" s="115" t="s">
        <v>198</v>
      </c>
      <c r="N83" s="116"/>
      <c r="O83" s="90"/>
    </row>
    <row r="84" spans="1:15" x14ac:dyDescent="0.25">
      <c r="A84" s="90"/>
      <c r="B84" s="90"/>
      <c r="C84" s="90"/>
      <c r="D84" s="90"/>
      <c r="E84" s="90"/>
      <c r="F84" s="90"/>
      <c r="G84" s="90"/>
      <c r="H84" s="90"/>
      <c r="J84" s="114" t="s">
        <v>71</v>
      </c>
      <c r="K84" s="115">
        <f>'30. Current tariff method 25'!C20</f>
        <v>24.922911589464604</v>
      </c>
      <c r="L84" s="115"/>
      <c r="M84" s="115">
        <f>K84*10^(-3)</f>
        <v>2.4922911589464605E-2</v>
      </c>
      <c r="N84" s="116"/>
      <c r="O84" s="90"/>
    </row>
    <row r="85" spans="1:15" x14ac:dyDescent="0.25">
      <c r="A85" s="90"/>
      <c r="B85" s="90"/>
      <c r="C85" s="90"/>
      <c r="D85" s="90"/>
      <c r="E85" s="90"/>
      <c r="F85" s="90"/>
      <c r="G85" s="90"/>
      <c r="H85" s="90"/>
      <c r="J85" s="114" t="s">
        <v>201</v>
      </c>
      <c r="K85" s="115">
        <f>'30. Current tariff method 25'!F20</f>
        <v>20.526772365145789</v>
      </c>
      <c r="L85" s="115"/>
      <c r="M85" s="115">
        <f t="shared" ref="M85:M88" si="8">K85*10^(-3)</f>
        <v>2.0526772365145787E-2</v>
      </c>
      <c r="N85" s="116"/>
      <c r="O85" s="90"/>
    </row>
    <row r="86" spans="1:15" x14ac:dyDescent="0.25">
      <c r="A86" s="90"/>
      <c r="B86" s="90"/>
      <c r="C86" s="90"/>
      <c r="D86" s="90"/>
      <c r="E86" s="90"/>
      <c r="F86" s="90"/>
      <c r="G86" s="90"/>
      <c r="H86" s="90"/>
      <c r="J86" s="114" t="s">
        <v>67</v>
      </c>
      <c r="K86" s="115">
        <f>'30. Current tariff method 25'!F20</f>
        <v>20.526772365145789</v>
      </c>
      <c r="L86" s="115"/>
      <c r="M86" s="115">
        <f t="shared" si="8"/>
        <v>2.0526772365145787E-2</v>
      </c>
      <c r="N86" s="116"/>
      <c r="O86" s="90"/>
    </row>
    <row r="87" spans="1:15" x14ac:dyDescent="0.25">
      <c r="A87" s="90"/>
      <c r="B87" s="90"/>
      <c r="C87" s="90"/>
      <c r="D87" s="90"/>
      <c r="E87" s="90"/>
      <c r="F87" s="90"/>
      <c r="G87" s="90"/>
      <c r="H87" s="90"/>
      <c r="J87" s="114" t="s">
        <v>202</v>
      </c>
      <c r="K87" s="115">
        <f>'30. Current tariff method 25'!D20</f>
        <v>26.984310323427732</v>
      </c>
      <c r="L87" s="115"/>
      <c r="M87" s="115">
        <f t="shared" si="8"/>
        <v>2.6984310323427733E-2</v>
      </c>
      <c r="N87" s="116"/>
      <c r="O87" s="90"/>
    </row>
    <row r="88" spans="1:15" x14ac:dyDescent="0.25">
      <c r="A88" s="90"/>
      <c r="B88" s="90"/>
      <c r="C88" s="90"/>
      <c r="D88" s="90"/>
      <c r="E88" s="90"/>
      <c r="F88" s="90"/>
      <c r="G88" s="90"/>
      <c r="H88" s="90"/>
      <c r="J88" s="117" t="s">
        <v>262</v>
      </c>
      <c r="K88" s="118">
        <f>'30. Current tariff method 25'!F20</f>
        <v>20.526772365145789</v>
      </c>
      <c r="L88" s="118"/>
      <c r="M88" s="115">
        <f t="shared" si="8"/>
        <v>2.0526772365145787E-2</v>
      </c>
      <c r="N88" s="119"/>
      <c r="O88" s="90"/>
    </row>
    <row r="89" spans="1:15" x14ac:dyDescent="0.25">
      <c r="A89" s="90"/>
      <c r="B89" s="93"/>
      <c r="C89" s="93"/>
      <c r="D89" s="93"/>
      <c r="E89" s="93"/>
      <c r="F89" s="93"/>
      <c r="G89" s="93"/>
      <c r="H89" s="90"/>
      <c r="O89" s="90"/>
    </row>
    <row r="90" spans="1:15" x14ac:dyDescent="0.25">
      <c r="B90" s="68" t="s">
        <v>152</v>
      </c>
      <c r="J90" s="68" t="s">
        <v>153</v>
      </c>
    </row>
    <row r="91" spans="1:15" x14ac:dyDescent="0.25">
      <c r="B91" s="69" t="s">
        <v>154</v>
      </c>
      <c r="C91" s="69" t="s">
        <v>155</v>
      </c>
      <c r="D91" s="69" t="s">
        <v>156</v>
      </c>
      <c r="E91" s="69" t="s">
        <v>156</v>
      </c>
      <c r="F91" s="69" t="s">
        <v>155</v>
      </c>
      <c r="G91" s="69" t="s">
        <v>156</v>
      </c>
      <c r="J91" s="75" t="s">
        <v>157</v>
      </c>
      <c r="K91" s="75"/>
      <c r="L91" s="75"/>
    </row>
    <row r="92" spans="1:15" x14ac:dyDescent="0.25">
      <c r="B92" s="62"/>
      <c r="C92" s="62" t="s">
        <v>64</v>
      </c>
      <c r="D92" s="62" t="s">
        <v>68</v>
      </c>
      <c r="E92" s="62" t="s">
        <v>66</v>
      </c>
      <c r="F92" s="62" t="s">
        <v>96</v>
      </c>
      <c r="G92" s="62" t="s">
        <v>77</v>
      </c>
      <c r="J92" s="74"/>
      <c r="K92" s="69" t="s">
        <v>158</v>
      </c>
      <c r="L92" s="69" t="s">
        <v>159</v>
      </c>
    </row>
    <row r="93" spans="1:15" x14ac:dyDescent="0.25">
      <c r="B93" s="69" t="s">
        <v>160</v>
      </c>
      <c r="C93" s="62">
        <f>M20</f>
        <v>3395.8333333333335</v>
      </c>
      <c r="D93" s="62">
        <f>M18</f>
        <v>1200</v>
      </c>
      <c r="E93" s="62">
        <f>M19</f>
        <v>1E-3</v>
      </c>
      <c r="F93" s="62">
        <f>M21</f>
        <v>4000</v>
      </c>
      <c r="G93" s="62">
        <f>M22</f>
        <v>10994.517589041096</v>
      </c>
      <c r="J93" s="76" t="s">
        <v>70</v>
      </c>
      <c r="K93" s="62">
        <f>(E37*K39+F37*K40)/SUM(K39,K40)</f>
        <v>140.13408450704225</v>
      </c>
      <c r="L93" s="62">
        <f>(C37*K37+D37*K38+G37*K41)/SUM(K37,K38,K41)</f>
        <v>233.82866889878639</v>
      </c>
    </row>
    <row r="94" spans="1:15" x14ac:dyDescent="0.25">
      <c r="B94" s="69" t="s">
        <v>161</v>
      </c>
      <c r="C94" s="62">
        <f>C93*C61</f>
        <v>637710.28871984698</v>
      </c>
      <c r="D94" s="62">
        <f>D93*C59</f>
        <v>205818.54856702319</v>
      </c>
      <c r="E94" s="62">
        <f>E93*C60</f>
        <v>0.27319198686228618</v>
      </c>
      <c r="F94" s="62">
        <f>F93*C62</f>
        <v>549319.83714602399</v>
      </c>
      <c r="G94" s="62">
        <f>G93*C63</f>
        <v>2582220.4354678751</v>
      </c>
      <c r="J94" s="76" t="s">
        <v>73</v>
      </c>
      <c r="K94" s="62">
        <f>(E38*L39+F38*L40)/SUM(L39,L40)</f>
        <v>83.334084507042249</v>
      </c>
      <c r="L94" s="62">
        <f>(C38*L37+D38*L38+G38*L41)/SUM(L37,L38,L41)</f>
        <v>177.02866889878638</v>
      </c>
    </row>
    <row r="95" spans="1:15" x14ac:dyDescent="0.25">
      <c r="J95" s="76" t="s">
        <v>68</v>
      </c>
      <c r="K95" s="62">
        <f>(E39*M39+F39*M40)/SUM(M39,M40)</f>
        <v>176.33408450704223</v>
      </c>
      <c r="L95" s="62">
        <f>(C39*M37+D39*M38+G39*M41)/SUM(M37,M38,M41)</f>
        <v>193.20001076900266</v>
      </c>
    </row>
    <row r="96" spans="1:15" x14ac:dyDescent="0.25">
      <c r="C96" s="62" t="s">
        <v>162</v>
      </c>
      <c r="J96" s="76" t="s">
        <v>96</v>
      </c>
      <c r="K96" s="62">
        <f>(E40*N39+F40*N40)/SUM(N39,N40)</f>
        <v>92.2</v>
      </c>
      <c r="L96" s="62">
        <f>(C40*N37+D40*N38+G40*N41)/SUM(N37,N38,N41)</f>
        <v>144.09786812805564</v>
      </c>
    </row>
    <row r="97" spans="2:12" x14ac:dyDescent="0.25">
      <c r="C97" s="62"/>
      <c r="J97" s="76" t="s">
        <v>79</v>
      </c>
      <c r="K97" s="62">
        <f>(E41*O39+F41*O40)/SUM(O39,O40)</f>
        <v>197.13408450704225</v>
      </c>
      <c r="L97" s="62">
        <f>(C41*O37+D41*O38+G41*O41)/SUM(O37,O38,O41)</f>
        <v>290.82866889878642</v>
      </c>
    </row>
    <row r="98" spans="2:12" x14ac:dyDescent="0.25">
      <c r="C98" s="62"/>
      <c r="J98" s="76" t="s">
        <v>77</v>
      </c>
      <c r="K98" s="62">
        <f>(E42*P39+F42*P40)/SUM(P39,P40)</f>
        <v>102.86591549295775</v>
      </c>
      <c r="L98" s="62">
        <f>(C42*P37+D42*P38+G42*P41)/SUM(P37,P38,P41)</f>
        <v>286.1998601667832</v>
      </c>
    </row>
    <row r="99" spans="2:12" x14ac:dyDescent="0.25">
      <c r="B99" s="68" t="s">
        <v>163</v>
      </c>
      <c r="J99" s="68" t="s">
        <v>164</v>
      </c>
      <c r="K99" s="62"/>
      <c r="L99" s="62"/>
    </row>
    <row r="100" spans="2:12" ht="45.75" x14ac:dyDescent="0.25">
      <c r="C100" s="76" t="s">
        <v>165</v>
      </c>
      <c r="D100" s="76" t="s">
        <v>166</v>
      </c>
      <c r="E100" s="76" t="s">
        <v>167</v>
      </c>
      <c r="F100" s="76" t="s">
        <v>168</v>
      </c>
      <c r="G100" s="76" t="s">
        <v>169</v>
      </c>
      <c r="J100" s="76" t="s">
        <v>170</v>
      </c>
      <c r="K100" s="62">
        <f>SUMPRODUCT(C101:C106,J60:J65)</f>
        <v>177.93248575011049</v>
      </c>
      <c r="L100" s="62"/>
    </row>
    <row r="101" spans="2:12" ht="23.25" x14ac:dyDescent="0.25">
      <c r="B101" s="76" t="s">
        <v>70</v>
      </c>
      <c r="C101" s="62">
        <f t="shared" ref="C101:C106" si="9">SUM($D$93,$E$93,$G$93)/SUM($E$18:$E$23)*E18</f>
        <v>1356.739754283888</v>
      </c>
      <c r="D101" s="62" t="s">
        <v>171</v>
      </c>
      <c r="E101" s="62">
        <f t="shared" ref="E101:E106" si="10">E18-C101</f>
        <v>1205.760245716112</v>
      </c>
      <c r="F101" s="62">
        <f>C101*L93</f>
        <v>317244.65078626806</v>
      </c>
      <c r="G101" s="62">
        <f>E101*K93</f>
        <v>168968.10816841366</v>
      </c>
      <c r="J101" s="76" t="s">
        <v>172</v>
      </c>
      <c r="K101" s="62">
        <f>K67-K100</f>
        <v>158.13196087275557</v>
      </c>
      <c r="L101" s="62"/>
    </row>
    <row r="102" spans="2:12" ht="23.25" x14ac:dyDescent="0.25">
      <c r="B102" s="76" t="s">
        <v>73</v>
      </c>
      <c r="C102" s="62">
        <f t="shared" si="9"/>
        <v>469.89523197149299</v>
      </c>
      <c r="D102" s="62" t="s">
        <v>171</v>
      </c>
      <c r="E102" s="62">
        <f t="shared" si="10"/>
        <v>417.60476802850712</v>
      </c>
      <c r="F102" s="62">
        <f t="shared" ref="F102:F106" si="11">C102*L94</f>
        <v>83184.927437799852</v>
      </c>
      <c r="G102" s="62">
        <f t="shared" ref="G102:G106" si="12">E102*K94</f>
        <v>34800.71102943139</v>
      </c>
      <c r="J102" s="76" t="s">
        <v>173</v>
      </c>
      <c r="K102" s="62">
        <f>D93*J73+E93*J74+G93*J77</f>
        <v>250.31411363732332</v>
      </c>
      <c r="L102" s="62"/>
    </row>
    <row r="103" spans="2:12" ht="23.25" x14ac:dyDescent="0.25">
      <c r="B103" s="76" t="s">
        <v>68</v>
      </c>
      <c r="C103" s="62">
        <f t="shared" si="9"/>
        <v>840.51682338562819</v>
      </c>
      <c r="D103" s="62" t="s">
        <v>171</v>
      </c>
      <c r="E103" s="62">
        <f t="shared" si="10"/>
        <v>746.98317661437181</v>
      </c>
      <c r="F103" s="62">
        <f t="shared" si="11"/>
        <v>162387.85932963126</v>
      </c>
      <c r="G103" s="62">
        <f t="shared" si="12"/>
        <v>131718.59459045751</v>
      </c>
      <c r="J103" s="76" t="s">
        <v>174</v>
      </c>
      <c r="K103" s="62">
        <f>K79-K102</f>
        <v>91.634220473306698</v>
      </c>
      <c r="L103" s="62"/>
    </row>
    <row r="104" spans="2:12" x14ac:dyDescent="0.25">
      <c r="B104" s="76" t="s">
        <v>96</v>
      </c>
      <c r="C104" s="62">
        <f t="shared" si="9"/>
        <v>3706.2159141413526</v>
      </c>
      <c r="D104" s="62" t="s">
        <v>171</v>
      </c>
      <c r="E104" s="62">
        <f t="shared" si="10"/>
        <v>3293.7840858586474</v>
      </c>
      <c r="F104" s="62">
        <f t="shared" si="11"/>
        <v>534057.81205004186</v>
      </c>
      <c r="G104" s="62">
        <f t="shared" si="12"/>
        <v>303686.89271616732</v>
      </c>
      <c r="H104" s="69"/>
      <c r="J104" s="76" t="s">
        <v>175</v>
      </c>
      <c r="K104" s="62">
        <f>K101+K103</f>
        <v>249.76618134606227</v>
      </c>
      <c r="L104" s="62"/>
    </row>
    <row r="105" spans="2:12" x14ac:dyDescent="0.25">
      <c r="B105" s="76" t="s">
        <v>79</v>
      </c>
      <c r="C105" s="62">
        <f t="shared" si="9"/>
        <v>5821.1508652587327</v>
      </c>
      <c r="D105" s="62" t="s">
        <v>171</v>
      </c>
      <c r="E105" s="62">
        <f t="shared" si="10"/>
        <v>5173.3667237823629</v>
      </c>
      <c r="F105" s="62">
        <f t="shared" si="11"/>
        <v>1692957.557602216</v>
      </c>
      <c r="G105" s="62">
        <f t="shared" si="12"/>
        <v>1019846.9129120326</v>
      </c>
      <c r="H105" s="69"/>
      <c r="J105" s="76" t="s">
        <v>176</v>
      </c>
      <c r="K105" s="62">
        <f>K100+K102</f>
        <v>428.24659938743378</v>
      </c>
      <c r="L105" s="62"/>
    </row>
    <row r="106" spans="2:12" x14ac:dyDescent="0.25">
      <c r="B106" s="76" t="s">
        <v>77</v>
      </c>
      <c r="C106" s="62">
        <f t="shared" si="9"/>
        <v>0</v>
      </c>
      <c r="D106" s="62" t="s">
        <v>171</v>
      </c>
      <c r="E106" s="62">
        <f t="shared" si="10"/>
        <v>0</v>
      </c>
      <c r="F106" s="62">
        <f t="shared" si="11"/>
        <v>0</v>
      </c>
      <c r="G106" s="62">
        <f t="shared" si="12"/>
        <v>0</v>
      </c>
      <c r="H106" s="69"/>
      <c r="J106" s="76"/>
      <c r="K106" s="62"/>
      <c r="L106" s="62"/>
    </row>
    <row r="107" spans="2:12" x14ac:dyDescent="0.25">
      <c r="B107" s="76"/>
      <c r="C107" s="62"/>
      <c r="D107" s="62"/>
      <c r="E107" s="62"/>
      <c r="F107" s="62"/>
      <c r="G107" s="62"/>
      <c r="L107" s="62"/>
    </row>
    <row r="108" spans="2:12" x14ac:dyDescent="0.25">
      <c r="B108" s="76" t="s">
        <v>177</v>
      </c>
      <c r="C108" s="62">
        <f>SUM(C101:C106)</f>
        <v>12194.518589041094</v>
      </c>
      <c r="D108" s="62"/>
      <c r="E108" s="62">
        <f>SUM(E101:E106)</f>
        <v>10837.499000000002</v>
      </c>
      <c r="F108" s="62">
        <f>SUM(F101:F106)</f>
        <v>2789832.8072059569</v>
      </c>
      <c r="G108" s="62">
        <f>SUM(G101:G106)</f>
        <v>1659021.2194165024</v>
      </c>
    </row>
    <row r="109" spans="2:12" x14ac:dyDescent="0.25">
      <c r="B109" s="76"/>
      <c r="C109" s="62"/>
      <c r="D109" s="62"/>
      <c r="E109" s="62"/>
      <c r="F109" s="62"/>
      <c r="G109" s="62"/>
    </row>
    <row r="110" spans="2:12" ht="23.25" x14ac:dyDescent="0.25">
      <c r="B110" s="76" t="s">
        <v>178</v>
      </c>
      <c r="C110" s="62">
        <f>SUM(D93,E93,G93)</f>
        <v>12194.518589041096</v>
      </c>
      <c r="D110" s="62"/>
      <c r="E110" s="62"/>
      <c r="F110" s="62"/>
      <c r="G110" s="62"/>
    </row>
    <row r="111" spans="2:12" x14ac:dyDescent="0.25">
      <c r="B111" s="76"/>
    </row>
    <row r="112" spans="2:12" x14ac:dyDescent="0.25">
      <c r="B112" s="76"/>
    </row>
    <row r="113" spans="2:12" x14ac:dyDescent="0.25">
      <c r="B113" s="68" t="s">
        <v>179</v>
      </c>
      <c r="J113" s="68" t="s">
        <v>180</v>
      </c>
    </row>
    <row r="114" spans="2:12" ht="34.5" x14ac:dyDescent="0.25">
      <c r="B114" s="76" t="s">
        <v>169</v>
      </c>
      <c r="C114" s="78"/>
      <c r="D114" s="62">
        <f>G108</f>
        <v>1659021.2194165024</v>
      </c>
      <c r="E114" s="62"/>
      <c r="J114" s="79" t="s">
        <v>181</v>
      </c>
      <c r="K114" s="80"/>
      <c r="L114" s="81"/>
    </row>
    <row r="115" spans="2:12" ht="34.5" x14ac:dyDescent="0.25">
      <c r="B115" s="76" t="s">
        <v>182</v>
      </c>
      <c r="C115" s="78"/>
      <c r="D115" s="62">
        <f>C94+F94</f>
        <v>1187030.1258658711</v>
      </c>
      <c r="E115" s="62"/>
      <c r="J115" s="82" t="s">
        <v>183</v>
      </c>
      <c r="K115" s="83">
        <f>K104*10^6/D116</f>
        <v>87.758845869058447</v>
      </c>
      <c r="L115" s="84" t="s">
        <v>184</v>
      </c>
    </row>
    <row r="116" spans="2:12" ht="23.25" x14ac:dyDescent="0.25">
      <c r="B116" s="76" t="s">
        <v>185</v>
      </c>
      <c r="C116" s="78"/>
      <c r="D116" s="62">
        <f>SUM(D114:D115)</f>
        <v>2846051.3452823735</v>
      </c>
      <c r="E116" s="62"/>
      <c r="J116" s="82" t="s">
        <v>186</v>
      </c>
      <c r="K116" s="83">
        <f>K105*10^6/D119</f>
        <v>76.775980954840676</v>
      </c>
      <c r="L116" s="84" t="s">
        <v>187</v>
      </c>
    </row>
    <row r="117" spans="2:12" ht="34.5" x14ac:dyDescent="0.25">
      <c r="B117" s="76" t="s">
        <v>188</v>
      </c>
      <c r="C117" s="78"/>
      <c r="D117" s="62">
        <f>F108</f>
        <v>2789832.8072059569</v>
      </c>
      <c r="E117" s="62"/>
      <c r="J117" s="82" t="s">
        <v>189</v>
      </c>
      <c r="K117" s="85">
        <f>2*(ABS(K115-K116))/(K115+K116)</f>
        <v>0.13350200837385851</v>
      </c>
      <c r="L117" s="84" t="s">
        <v>190</v>
      </c>
    </row>
    <row r="118" spans="2:12" ht="34.5" x14ac:dyDescent="0.25">
      <c r="B118" s="76" t="s">
        <v>191</v>
      </c>
      <c r="C118" s="78"/>
      <c r="D118" s="62">
        <f>SUM(D94,E94,G94)</f>
        <v>2788039.2572268853</v>
      </c>
      <c r="E118" s="62"/>
    </row>
    <row r="119" spans="2:12" ht="34.5" x14ac:dyDescent="0.25">
      <c r="B119" s="76" t="s">
        <v>192</v>
      </c>
      <c r="C119" s="78"/>
      <c r="D119" s="62">
        <f>SUM(D117:D118)</f>
        <v>5577872.0644328427</v>
      </c>
      <c r="E119" s="62"/>
    </row>
    <row r="120" spans="2:12" x14ac:dyDescent="0.25">
      <c r="D120" s="62"/>
      <c r="E120" s="62"/>
    </row>
    <row r="121" spans="2:12" x14ac:dyDescent="0.25">
      <c r="D121" s="62"/>
      <c r="E121" s="62"/>
    </row>
    <row r="126" spans="2:12" x14ac:dyDescent="0.25">
      <c r="E126" s="62"/>
    </row>
  </sheetData>
  <conditionalFormatting sqref="K117">
    <cfRule type="cellIs" dxfId="3" priority="1" operator="lessThan">
      <formula>0.1</formula>
    </cfRule>
    <cfRule type="cellIs" dxfId="2" priority="2" operator="greaterThan">
      <formula>0.1</formula>
    </cfRule>
  </conditionalFormatting>
  <dataValidations count="1">
    <dataValidation type="list" allowBlank="1" showInputMessage="1" showErrorMessage="1" sqref="F12" xr:uid="{00000000-0002-0000-2400-000000000000}">
      <formula1>"Nybro (P1),New entry point (BP1)"</formula1>
    </dataValidation>
  </dataValidations>
  <pageMargins left="0.7" right="0.7" top="0.75" bottom="0.75" header="0.3" footer="0.3"/>
  <pageSetup paperSize="9" orientation="portrait"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FF0000"/>
  </sheetPr>
  <dimension ref="A1:R113"/>
  <sheetViews>
    <sheetView topLeftCell="A85" zoomScale="90" zoomScaleNormal="90" workbookViewId="0">
      <selection activeCell="A25" sqref="A25"/>
    </sheetView>
  </sheetViews>
  <sheetFormatPr defaultColWidth="9.140625" defaultRowHeight="15" x14ac:dyDescent="0.25"/>
  <cols>
    <col min="1" max="1" width="9.140625" style="53"/>
    <col min="2" max="2" width="19.42578125" style="53" customWidth="1"/>
    <col min="3" max="3" width="10.42578125" style="53" bestFit="1" customWidth="1"/>
    <col min="4" max="4" width="14.5703125" style="53" customWidth="1"/>
    <col min="5" max="5" width="13.42578125" style="53" customWidth="1"/>
    <col min="6" max="6" width="20.85546875" style="53" bestFit="1" customWidth="1"/>
    <col min="7" max="7" width="12.42578125" style="53" customWidth="1"/>
    <col min="8" max="9" width="9.140625" style="53"/>
    <col min="10" max="10" width="17.85546875" style="53" customWidth="1"/>
    <col min="11" max="12" width="11" style="53" bestFit="1" customWidth="1"/>
    <col min="13" max="13" width="11.42578125" style="53" customWidth="1"/>
    <col min="14" max="14" width="9.140625" style="53" customWidth="1"/>
    <col min="15" max="15" width="11" style="53" bestFit="1" customWidth="1"/>
    <col min="16" max="16" width="10.42578125" style="53" bestFit="1" customWidth="1"/>
    <col min="17"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2" spans="1:14" x14ac:dyDescent="0.25">
      <c r="B12" s="73" t="s">
        <v>261</v>
      </c>
      <c r="F12" s="232"/>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2" t="s">
        <v>205</v>
      </c>
      <c r="F17" s="61"/>
      <c r="G17" s="60"/>
      <c r="H17" s="60"/>
      <c r="I17" s="60"/>
      <c r="J17" s="59" t="s">
        <v>8</v>
      </c>
      <c r="K17" s="61" t="s">
        <v>92</v>
      </c>
      <c r="L17" s="61" t="s">
        <v>93</v>
      </c>
      <c r="M17" s="62" t="s">
        <v>205</v>
      </c>
      <c r="N17" s="61"/>
      <c r="R17" s="62"/>
    </row>
    <row r="18" spans="1:18" x14ac:dyDescent="0.25">
      <c r="A18" s="63" t="s">
        <v>95</v>
      </c>
      <c r="B18" s="61" t="s">
        <v>70</v>
      </c>
      <c r="C18" s="61">
        <v>0</v>
      </c>
      <c r="D18" s="61">
        <v>93</v>
      </c>
      <c r="E18" s="62">
        <f>'Forecasted Capacities'!O3</f>
        <v>20806.351783361046</v>
      </c>
      <c r="F18" s="61"/>
      <c r="G18" s="60"/>
      <c r="H18" s="60"/>
      <c r="I18" s="60"/>
      <c r="J18" s="61" t="s">
        <v>68</v>
      </c>
      <c r="K18" s="61">
        <v>56.8</v>
      </c>
      <c r="L18" s="61">
        <v>0</v>
      </c>
      <c r="M18" s="61">
        <f>'Forecasted Capacities'!G5</f>
        <v>7894.5576503602697</v>
      </c>
      <c r="N18" s="64"/>
      <c r="R18" s="62"/>
    </row>
    <row r="19" spans="1:18" x14ac:dyDescent="0.25">
      <c r="B19" s="61" t="s">
        <v>73</v>
      </c>
      <c r="C19" s="61">
        <v>56.8</v>
      </c>
      <c r="D19" s="61">
        <v>93</v>
      </c>
      <c r="E19" s="62">
        <f>'Forecasted Capacities'!O5</f>
        <v>6168</v>
      </c>
      <c r="F19" s="61"/>
      <c r="G19" s="60"/>
      <c r="H19" s="60"/>
      <c r="I19" s="60"/>
      <c r="J19" s="61" t="s">
        <v>66</v>
      </c>
      <c r="K19" s="61">
        <v>275.39999999999998</v>
      </c>
      <c r="L19" s="61">
        <v>93</v>
      </c>
      <c r="M19" s="61">
        <f>'Forecasted Capacities'!G4</f>
        <v>1</v>
      </c>
      <c r="N19" s="61"/>
      <c r="R19" s="62"/>
    </row>
    <row r="20" spans="1:18" x14ac:dyDescent="0.25">
      <c r="B20" s="61" t="s">
        <v>68</v>
      </c>
      <c r="C20" s="61">
        <v>56.8</v>
      </c>
      <c r="D20" s="61">
        <v>0</v>
      </c>
      <c r="E20" s="62">
        <f>'Forecasted Capacities'!O4</f>
        <v>17280</v>
      </c>
      <c r="F20" s="61"/>
      <c r="G20" s="60"/>
      <c r="H20" s="60"/>
      <c r="I20" s="60"/>
      <c r="J20" s="61" t="s">
        <v>64</v>
      </c>
      <c r="K20" s="61">
        <v>190</v>
      </c>
      <c r="L20" s="61">
        <v>93</v>
      </c>
      <c r="M20" s="61">
        <f>'Forecasted Capacities'!G3</f>
        <v>31937.406852220247</v>
      </c>
      <c r="N20" s="61"/>
      <c r="R20" s="62"/>
    </row>
    <row r="21" spans="1:18" x14ac:dyDescent="0.25">
      <c r="B21" s="61" t="s">
        <v>96</v>
      </c>
      <c r="C21" s="61">
        <v>97.8</v>
      </c>
      <c r="D21" s="61">
        <v>93</v>
      </c>
      <c r="E21" s="62">
        <f>'Forecasted Capacities'!O6</f>
        <v>6000</v>
      </c>
      <c r="F21" s="61"/>
      <c r="G21" s="60"/>
      <c r="H21" s="60"/>
      <c r="I21" s="60"/>
      <c r="J21" s="61" t="s">
        <v>96</v>
      </c>
      <c r="K21" s="61">
        <v>97.8</v>
      </c>
      <c r="L21" s="61">
        <v>93</v>
      </c>
      <c r="M21" s="61">
        <f>'Forecasted Capacities'!G6</f>
        <v>6000</v>
      </c>
      <c r="N21" s="61"/>
      <c r="R21" s="62"/>
    </row>
    <row r="22" spans="1:18" x14ac:dyDescent="0.25">
      <c r="B22" s="61" t="s">
        <v>79</v>
      </c>
      <c r="C22" s="233">
        <v>0</v>
      </c>
      <c r="D22" s="233">
        <v>150</v>
      </c>
      <c r="E22" s="61">
        <f>'Forecasted Capacities'!O7</f>
        <v>86101.421472000002</v>
      </c>
      <c r="F22" s="60"/>
      <c r="G22" s="60"/>
      <c r="H22" s="60"/>
      <c r="I22" s="60"/>
      <c r="J22" s="61" t="s">
        <v>77</v>
      </c>
      <c r="K22" s="233">
        <v>200</v>
      </c>
      <c r="L22" s="233">
        <v>50</v>
      </c>
      <c r="M22" s="61">
        <f>'Forecasted Capacities'!G7</f>
        <v>86101.421472000002</v>
      </c>
      <c r="N22" s="60"/>
      <c r="O22" s="234"/>
    </row>
    <row r="23" spans="1:18" x14ac:dyDescent="0.25">
      <c r="B23" s="61" t="s">
        <v>77</v>
      </c>
      <c r="C23" s="233">
        <v>200</v>
      </c>
      <c r="D23" s="233">
        <v>50</v>
      </c>
      <c r="E23" s="61">
        <v>0</v>
      </c>
      <c r="F23" s="60"/>
      <c r="G23" s="60"/>
      <c r="H23" s="60"/>
      <c r="I23" s="60"/>
      <c r="J23" s="61"/>
      <c r="K23" s="61"/>
      <c r="L23" s="61"/>
      <c r="M23" s="61"/>
      <c r="N23" s="60"/>
      <c r="O23" s="234"/>
    </row>
    <row r="24" spans="1:18" x14ac:dyDescent="0.25">
      <c r="B24" s="60"/>
      <c r="C24" s="60"/>
      <c r="D24" s="60"/>
      <c r="E24" s="65">
        <f>SUM(E18:E23)</f>
        <v>136355.77325536104</v>
      </c>
      <c r="F24" s="60"/>
      <c r="G24" s="60"/>
      <c r="H24" s="60"/>
      <c r="I24" s="60"/>
      <c r="J24" s="60"/>
      <c r="K24" s="60"/>
      <c r="L24" s="60"/>
      <c r="M24" s="65">
        <f>SUM(M18:M22)</f>
        <v>131934.38597458051</v>
      </c>
      <c r="N24" s="60"/>
    </row>
    <row r="25" spans="1:18" x14ac:dyDescent="0.25">
      <c r="B25" s="59" t="s">
        <v>97</v>
      </c>
      <c r="C25" s="60"/>
      <c r="D25" s="60"/>
      <c r="E25" s="60"/>
      <c r="F25" s="60"/>
      <c r="G25" s="60"/>
      <c r="H25" s="60"/>
      <c r="I25" s="60"/>
      <c r="J25" s="60"/>
      <c r="K25" s="60"/>
      <c r="L25" s="60"/>
      <c r="M25" s="60"/>
      <c r="N25" s="60"/>
    </row>
    <row r="26" spans="1:18" ht="15.75" x14ac:dyDescent="0.25">
      <c r="B26" s="66"/>
      <c r="C26" s="61" t="s">
        <v>98</v>
      </c>
      <c r="D26" s="60"/>
      <c r="E26" s="61">
        <f>'30. Current tariff method 25'!B13+'30. Current tariff method 25'!B14</f>
        <v>968.58968676213726</v>
      </c>
      <c r="F26" s="60"/>
      <c r="G26" s="60"/>
      <c r="H26" s="60"/>
      <c r="I26" s="60"/>
      <c r="J26" s="60"/>
      <c r="K26" s="60"/>
      <c r="L26" s="60"/>
      <c r="M26" s="60"/>
      <c r="N26" s="60"/>
    </row>
    <row r="27" spans="1:18" x14ac:dyDescent="0.25">
      <c r="A27" s="63" t="s">
        <v>99</v>
      </c>
      <c r="B27" s="60"/>
      <c r="C27" s="61" t="s">
        <v>105</v>
      </c>
      <c r="D27" s="60"/>
      <c r="E27" s="61">
        <f>'30. Current tariff method 25'!B13</f>
        <v>290.57690602864125</v>
      </c>
      <c r="F27" s="60"/>
      <c r="G27" s="60"/>
      <c r="H27" s="60"/>
      <c r="I27" s="60"/>
      <c r="J27" s="60"/>
      <c r="K27" s="60"/>
      <c r="L27" s="60"/>
      <c r="M27" s="60"/>
      <c r="N27" s="60"/>
    </row>
    <row r="28" spans="1:18" x14ac:dyDescent="0.25">
      <c r="A28" s="63" t="s">
        <v>101</v>
      </c>
      <c r="B28" s="60"/>
      <c r="C28" s="61" t="s">
        <v>102</v>
      </c>
      <c r="D28" s="60"/>
      <c r="E28" s="61">
        <v>0</v>
      </c>
      <c r="F28" s="60"/>
      <c r="G28" s="60"/>
      <c r="H28" s="60"/>
      <c r="I28" s="60"/>
      <c r="J28" s="60"/>
      <c r="K28" s="60"/>
      <c r="L28" s="60"/>
      <c r="M28" s="60"/>
      <c r="N28" s="60"/>
    </row>
    <row r="29" spans="1:18" x14ac:dyDescent="0.25">
      <c r="A29" s="63" t="s">
        <v>101</v>
      </c>
      <c r="B29" s="60"/>
      <c r="C29" s="61" t="s">
        <v>207</v>
      </c>
      <c r="D29" s="60"/>
      <c r="E29" s="61">
        <f>E27*E28</f>
        <v>0</v>
      </c>
      <c r="F29" s="60"/>
      <c r="G29" s="60"/>
      <c r="H29" s="60"/>
      <c r="I29" s="60"/>
      <c r="J29" s="60"/>
      <c r="K29" s="60"/>
      <c r="L29" s="60"/>
      <c r="N29" s="60"/>
    </row>
    <row r="30" spans="1:18" x14ac:dyDescent="0.25">
      <c r="B30" s="60"/>
      <c r="C30" s="61" t="s">
        <v>208</v>
      </c>
      <c r="D30" s="60"/>
      <c r="E30" s="61">
        <f>E27-E29</f>
        <v>290.57690602864125</v>
      </c>
      <c r="F30" s="60"/>
      <c r="G30" s="60"/>
      <c r="H30" s="60"/>
      <c r="I30" s="60"/>
      <c r="J30" s="60"/>
      <c r="K30" s="60"/>
      <c r="L30" s="60"/>
      <c r="M30" s="60"/>
      <c r="N30" s="60"/>
    </row>
    <row r="31" spans="1:18" x14ac:dyDescent="0.25">
      <c r="B31" s="60"/>
      <c r="C31" s="61"/>
      <c r="D31" s="60"/>
      <c r="E31" s="61"/>
      <c r="F31" s="60"/>
      <c r="G31" s="60"/>
      <c r="H31" s="60"/>
      <c r="I31" s="60"/>
      <c r="J31" s="60"/>
      <c r="K31" s="60"/>
      <c r="L31" s="60"/>
      <c r="M31" s="60"/>
      <c r="N31" s="60"/>
    </row>
    <row r="33" spans="1:16" x14ac:dyDescent="0.25">
      <c r="K33" s="67"/>
      <c r="L33" s="67"/>
    </row>
    <row r="34" spans="1:16" x14ac:dyDescent="0.25">
      <c r="B34" s="68" t="s">
        <v>106</v>
      </c>
      <c r="J34" s="68" t="s">
        <v>107</v>
      </c>
    </row>
    <row r="35" spans="1:16" x14ac:dyDescent="0.25">
      <c r="B35" s="69" t="s">
        <v>108</v>
      </c>
      <c r="C35" s="69" t="s">
        <v>8</v>
      </c>
      <c r="J35" s="69" t="s">
        <v>109</v>
      </c>
      <c r="K35" s="62" t="s">
        <v>26</v>
      </c>
    </row>
    <row r="36" spans="1:16" x14ac:dyDescent="0.25">
      <c r="B36" s="69" t="s">
        <v>26</v>
      </c>
      <c r="C36" s="62" t="s">
        <v>68</v>
      </c>
      <c r="D36" s="62" t="s">
        <v>66</v>
      </c>
      <c r="E36" s="62" t="s">
        <v>64</v>
      </c>
      <c r="F36" s="62" t="s">
        <v>96</v>
      </c>
      <c r="G36" s="62" t="s">
        <v>77</v>
      </c>
      <c r="J36" s="62" t="s">
        <v>8</v>
      </c>
      <c r="K36" s="62" t="s">
        <v>70</v>
      </c>
      <c r="L36" s="62" t="s">
        <v>73</v>
      </c>
      <c r="M36" s="62" t="s">
        <v>68</v>
      </c>
      <c r="N36" s="62" t="s">
        <v>96</v>
      </c>
      <c r="O36" s="62" t="s">
        <v>79</v>
      </c>
      <c r="P36" s="62" t="s">
        <v>77</v>
      </c>
    </row>
    <row r="37" spans="1:16" x14ac:dyDescent="0.25">
      <c r="B37" s="62" t="s">
        <v>70</v>
      </c>
      <c r="C37" s="62">
        <f>ABS(C20-C18)+ABS(D18-D20)</f>
        <v>149.80000000000001</v>
      </c>
      <c r="D37" s="62">
        <f>ABS(K19-C18)+ABS(L19-D18)</f>
        <v>275.39999999999998</v>
      </c>
      <c r="E37" s="62">
        <f>ABS(K20-C18)+ABS(L20-D18)</f>
        <v>190</v>
      </c>
      <c r="F37" s="62">
        <f>ABS(K21-C18)+ABS(L21-D18)</f>
        <v>97.8</v>
      </c>
      <c r="G37" s="62">
        <f>ABS(K22-C18)+ABS(L22-D18)</f>
        <v>243</v>
      </c>
      <c r="J37" s="62" t="s">
        <v>68</v>
      </c>
      <c r="K37" s="62">
        <f t="shared" ref="K37:L41" si="0">$M18</f>
        <v>7894.5576503602697</v>
      </c>
      <c r="L37" s="62">
        <f t="shared" si="0"/>
        <v>7894.5576503602697</v>
      </c>
      <c r="M37" s="62">
        <v>0</v>
      </c>
      <c r="N37" s="62">
        <f>$M18</f>
        <v>7894.5576503602697</v>
      </c>
      <c r="O37" s="62">
        <f t="shared" ref="O37:P41" si="1">$M18</f>
        <v>7894.5576503602697</v>
      </c>
      <c r="P37" s="62">
        <f t="shared" si="1"/>
        <v>7894.5576503602697</v>
      </c>
    </row>
    <row r="38" spans="1:16" x14ac:dyDescent="0.25">
      <c r="B38" s="62" t="s">
        <v>73</v>
      </c>
      <c r="C38" s="62">
        <f>ABS(C19-C20)+ABS(D19-D20)</f>
        <v>93</v>
      </c>
      <c r="D38" s="62">
        <f>ABS(K19-C19)+ABS(L19-D19)</f>
        <v>218.59999999999997</v>
      </c>
      <c r="E38" s="62">
        <f>ABS(K20-C19)+ABS(L20-D19)</f>
        <v>133.19999999999999</v>
      </c>
      <c r="F38" s="62">
        <f>ABS(K21-C19)+ABS(L21-D19)</f>
        <v>41</v>
      </c>
      <c r="G38" s="62">
        <f>ABS(K22-C19)+ABS(L22-D19)</f>
        <v>186.2</v>
      </c>
      <c r="J38" s="62" t="s">
        <v>66</v>
      </c>
      <c r="K38" s="62">
        <f t="shared" si="0"/>
        <v>1</v>
      </c>
      <c r="L38" s="62">
        <f t="shared" si="0"/>
        <v>1</v>
      </c>
      <c r="M38" s="62">
        <f>$M19</f>
        <v>1</v>
      </c>
      <c r="N38" s="62">
        <f>$M19</f>
        <v>1</v>
      </c>
      <c r="O38" s="62">
        <f t="shared" si="1"/>
        <v>1</v>
      </c>
      <c r="P38" s="62">
        <f t="shared" si="1"/>
        <v>1</v>
      </c>
    </row>
    <row r="39" spans="1:16" x14ac:dyDescent="0.25">
      <c r="B39" s="62" t="s">
        <v>68</v>
      </c>
      <c r="C39" s="62">
        <v>0</v>
      </c>
      <c r="D39" s="62">
        <f>ABS(K19-K18)+ABS(L19-L18)</f>
        <v>311.59999999999997</v>
      </c>
      <c r="E39" s="62">
        <f>ABS(K20-K18)+ABS(L20-L18)</f>
        <v>226.2</v>
      </c>
      <c r="F39" s="62">
        <f>ABS(K21-K18)+ABS(L21-L18)</f>
        <v>134</v>
      </c>
      <c r="G39" s="62">
        <f>ABS(K22-K18)+ABS(L22-L18)</f>
        <v>193.2</v>
      </c>
      <c r="J39" s="62" t="s">
        <v>64</v>
      </c>
      <c r="K39" s="62">
        <f t="shared" si="0"/>
        <v>31937.406852220247</v>
      </c>
      <c r="L39" s="62">
        <f t="shared" si="0"/>
        <v>31937.406852220247</v>
      </c>
      <c r="M39" s="62">
        <f>$M20</f>
        <v>31937.406852220247</v>
      </c>
      <c r="N39" s="62">
        <f>$M20</f>
        <v>31937.406852220247</v>
      </c>
      <c r="O39" s="62">
        <f t="shared" si="1"/>
        <v>31937.406852220247</v>
      </c>
      <c r="P39" s="62">
        <f t="shared" si="1"/>
        <v>31937.406852220247</v>
      </c>
    </row>
    <row r="40" spans="1:16" x14ac:dyDescent="0.25">
      <c r="B40" s="62" t="s">
        <v>96</v>
      </c>
      <c r="C40" s="62">
        <f>ABS(C21-C20)+ABS(D21-D20)</f>
        <v>134</v>
      </c>
      <c r="D40" s="62">
        <f>ABS(K19-K21)+ABS(L19-L21)</f>
        <v>177.59999999999997</v>
      </c>
      <c r="E40" s="62">
        <f>ABS(K20-K21)+ABS(L20-L21)</f>
        <v>92.2</v>
      </c>
      <c r="F40" s="62">
        <v>0</v>
      </c>
      <c r="G40" s="62">
        <f>ABS(K22-K21)+ABS(L22-L21)</f>
        <v>145.19999999999999</v>
      </c>
      <c r="J40" s="62" t="s">
        <v>96</v>
      </c>
      <c r="K40" s="62">
        <f t="shared" si="0"/>
        <v>6000</v>
      </c>
      <c r="L40" s="62">
        <f t="shared" si="0"/>
        <v>6000</v>
      </c>
      <c r="M40" s="62">
        <f>$M21</f>
        <v>6000</v>
      </c>
      <c r="N40" s="62">
        <v>0</v>
      </c>
      <c r="O40" s="62">
        <f t="shared" si="1"/>
        <v>6000</v>
      </c>
      <c r="P40" s="62">
        <f t="shared" si="1"/>
        <v>6000</v>
      </c>
    </row>
    <row r="41" spans="1:16" x14ac:dyDescent="0.25">
      <c r="B41" s="62" t="s">
        <v>79</v>
      </c>
      <c r="C41" s="62">
        <f>ABS(C20-C22)+ABS(D22-D20)</f>
        <v>206.8</v>
      </c>
      <c r="D41" s="62">
        <f>ABS(K19-C22)+ABS(L19-D22)</f>
        <v>332.4</v>
      </c>
      <c r="E41" s="62">
        <f>ABS(K20-C22)+ABS(L20-D22)</f>
        <v>247</v>
      </c>
      <c r="F41" s="62">
        <f>ABS(K21-C22)+ABS(L21-D22)</f>
        <v>154.80000000000001</v>
      </c>
      <c r="G41" s="62">
        <f>ABS(K22-C22)+ABS(L22-D22)</f>
        <v>300</v>
      </c>
      <c r="J41" s="62" t="s">
        <v>77</v>
      </c>
      <c r="K41" s="62">
        <f t="shared" si="0"/>
        <v>86101.421472000002</v>
      </c>
      <c r="L41" s="62">
        <f t="shared" si="0"/>
        <v>86101.421472000002</v>
      </c>
      <c r="M41" s="62">
        <f>$M22</f>
        <v>86101.421472000002</v>
      </c>
      <c r="N41" s="62">
        <f>$M22</f>
        <v>86101.421472000002</v>
      </c>
      <c r="O41" s="62">
        <f t="shared" si="1"/>
        <v>86101.421472000002</v>
      </c>
      <c r="P41" s="62">
        <v>0</v>
      </c>
    </row>
    <row r="42" spans="1:16" x14ac:dyDescent="0.25">
      <c r="B42" s="62" t="s">
        <v>77</v>
      </c>
      <c r="C42" s="62">
        <f>ABS(D19-D20)+ABS(C20-C23)+ABS(D20-D23)</f>
        <v>286.2</v>
      </c>
      <c r="D42" s="62">
        <f>ABS(K19-C23)+ABS(L19-D23)</f>
        <v>118.39999999999998</v>
      </c>
      <c r="E42" s="62">
        <f>ABS(K20-C23)+ABS(L20-D23)</f>
        <v>53</v>
      </c>
      <c r="F42" s="62">
        <f>ABS(K21-C23)+ABS(L21-D23)</f>
        <v>145.19999999999999</v>
      </c>
      <c r="G42" s="62">
        <f>ABS(K22-C23)+ABS(L22-D23)</f>
        <v>0</v>
      </c>
      <c r="J42" s="62"/>
      <c r="K42" s="62"/>
      <c r="L42" s="62"/>
      <c r="M42" s="62"/>
      <c r="N42" s="62"/>
    </row>
    <row r="43" spans="1:16" x14ac:dyDescent="0.25">
      <c r="J43" s="70" t="s">
        <v>14</v>
      </c>
      <c r="K43" s="70">
        <f>SUM(K37:K41)</f>
        <v>131934.38597458051</v>
      </c>
      <c r="L43" s="70">
        <f t="shared" ref="L43:P43" si="2">SUM(L37:L41)</f>
        <v>131934.38597458051</v>
      </c>
      <c r="M43" s="70">
        <f t="shared" si="2"/>
        <v>124039.82832422025</v>
      </c>
      <c r="N43" s="70">
        <f t="shared" si="2"/>
        <v>125934.38597458051</v>
      </c>
      <c r="O43" s="70">
        <f>SUM(O37:O41)</f>
        <v>131934.38597458051</v>
      </c>
      <c r="P43" s="70">
        <f t="shared" si="2"/>
        <v>45832.964502580515</v>
      </c>
    </row>
    <row r="45" spans="1:16" x14ac:dyDescent="0.25">
      <c r="B45" s="68" t="s">
        <v>110</v>
      </c>
      <c r="C45" s="68"/>
      <c r="D45" s="68"/>
      <c r="E45" s="68" t="s">
        <v>111</v>
      </c>
      <c r="F45" s="68"/>
      <c r="G45" s="68"/>
      <c r="H45" s="68"/>
      <c r="I45" s="68"/>
      <c r="J45" s="68" t="s">
        <v>113</v>
      </c>
      <c r="K45" s="68"/>
    </row>
    <row r="46" spans="1:16" x14ac:dyDescent="0.25">
      <c r="A46" s="63" t="s">
        <v>114</v>
      </c>
      <c r="B46" s="62"/>
      <c r="C46" s="69" t="s">
        <v>115</v>
      </c>
      <c r="D46" s="69"/>
      <c r="E46" s="69" t="s">
        <v>116</v>
      </c>
      <c r="F46" s="62"/>
      <c r="G46" s="62"/>
      <c r="H46" s="69"/>
      <c r="I46" s="62"/>
      <c r="J46" s="69" t="s">
        <v>118</v>
      </c>
      <c r="K46" s="69" t="s">
        <v>8</v>
      </c>
    </row>
    <row r="47" spans="1:16" x14ac:dyDescent="0.25">
      <c r="B47" s="62" t="s">
        <v>70</v>
      </c>
      <c r="C47" s="62">
        <f>MMULT(C37:G37,K37:K41)/K43</f>
        <v>217.99042488576876</v>
      </c>
      <c r="D47" s="62"/>
      <c r="E47" s="62">
        <f>SUMPRODUCT(C47:C52,E18:E23)</f>
        <v>33429070.723780744</v>
      </c>
      <c r="F47" s="62"/>
      <c r="G47" s="62"/>
      <c r="H47" s="62"/>
      <c r="I47" s="62"/>
      <c r="J47" s="69" t="s">
        <v>26</v>
      </c>
      <c r="K47" s="62" t="s">
        <v>68</v>
      </c>
      <c r="L47" s="62" t="s">
        <v>66</v>
      </c>
      <c r="M47" s="62" t="s">
        <v>64</v>
      </c>
      <c r="N47" s="62" t="s">
        <v>96</v>
      </c>
      <c r="O47" s="62" t="s">
        <v>77</v>
      </c>
    </row>
    <row r="48" spans="1:16" x14ac:dyDescent="0.25">
      <c r="B48" s="62" t="s">
        <v>73</v>
      </c>
      <c r="C48" s="62">
        <f>MMULT(C38:G38,L37:L41)/L43</f>
        <v>161.19042488576875</v>
      </c>
      <c r="D48" s="62"/>
      <c r="E48" s="62"/>
      <c r="F48" s="62"/>
      <c r="G48" s="62"/>
      <c r="H48" s="62"/>
      <c r="I48" s="62"/>
      <c r="J48" s="62" t="s">
        <v>70</v>
      </c>
      <c r="K48" s="62">
        <f t="shared" ref="K48:O49" si="3">$E18</f>
        <v>20806.351783361046</v>
      </c>
      <c r="L48" s="62">
        <f t="shared" si="3"/>
        <v>20806.351783361046</v>
      </c>
      <c r="M48" s="62">
        <f t="shared" si="3"/>
        <v>20806.351783361046</v>
      </c>
      <c r="N48" s="62">
        <f t="shared" si="3"/>
        <v>20806.351783361046</v>
      </c>
      <c r="O48" s="62">
        <f t="shared" si="3"/>
        <v>20806.351783361046</v>
      </c>
    </row>
    <row r="49" spans="2:15" x14ac:dyDescent="0.25">
      <c r="B49" s="62" t="s">
        <v>68</v>
      </c>
      <c r="C49" s="62">
        <f>MMULT(C39:G39,M37:M41)/M43</f>
        <v>198.83410023671252</v>
      </c>
      <c r="D49" s="62"/>
      <c r="E49" s="62"/>
      <c r="F49" s="62"/>
      <c r="G49" s="62"/>
      <c r="H49" s="62"/>
      <c r="I49" s="62"/>
      <c r="J49" s="62" t="s">
        <v>73</v>
      </c>
      <c r="K49" s="62">
        <f t="shared" si="3"/>
        <v>6168</v>
      </c>
      <c r="L49" s="62">
        <f t="shared" si="3"/>
        <v>6168</v>
      </c>
      <c r="M49" s="62">
        <f t="shared" si="3"/>
        <v>6168</v>
      </c>
      <c r="N49" s="62">
        <f t="shared" si="3"/>
        <v>6168</v>
      </c>
      <c r="O49" s="62">
        <f t="shared" si="3"/>
        <v>6168</v>
      </c>
    </row>
    <row r="50" spans="2:15" x14ac:dyDescent="0.25">
      <c r="B50" s="62" t="s">
        <v>96</v>
      </c>
      <c r="C50" s="62">
        <f>MMULT(C40:G40,N37:N41)/N43</f>
        <v>131.0571652605571</v>
      </c>
      <c r="D50" s="62"/>
      <c r="E50" s="62"/>
      <c r="F50" s="62"/>
      <c r="G50" s="62"/>
      <c r="H50" s="62"/>
      <c r="I50" s="62"/>
      <c r="J50" s="62" t="s">
        <v>68</v>
      </c>
      <c r="K50" s="62">
        <v>0</v>
      </c>
      <c r="L50" s="62">
        <f>$E20</f>
        <v>17280</v>
      </c>
      <c r="M50" s="62">
        <f>$E20</f>
        <v>17280</v>
      </c>
      <c r="N50" s="62">
        <f>$E20</f>
        <v>17280</v>
      </c>
      <c r="O50" s="62">
        <f>$E20</f>
        <v>17280</v>
      </c>
    </row>
    <row r="51" spans="2:15" x14ac:dyDescent="0.25">
      <c r="B51" s="62" t="s">
        <v>79</v>
      </c>
      <c r="C51" s="62">
        <f>MMULT(C41:G41,O37:O41)/O43</f>
        <v>274.99042488576879</v>
      </c>
      <c r="H51" s="62"/>
      <c r="J51" s="62" t="s">
        <v>96</v>
      </c>
      <c r="K51" s="62">
        <f>$E21</f>
        <v>6000</v>
      </c>
      <c r="L51" s="62">
        <f>$E21</f>
        <v>6000</v>
      </c>
      <c r="M51" s="62">
        <f>$E21</f>
        <v>6000</v>
      </c>
      <c r="N51" s="62">
        <v>0</v>
      </c>
      <c r="O51" s="62">
        <f>$E21</f>
        <v>6000</v>
      </c>
    </row>
    <row r="52" spans="2:15" x14ac:dyDescent="0.25">
      <c r="B52" s="62" t="s">
        <v>77</v>
      </c>
      <c r="C52" s="62">
        <f>MMULT(C42:G42,P37:P41)/P43</f>
        <v>105.23917479588759</v>
      </c>
      <c r="H52" s="62"/>
      <c r="J52" s="62" t="s">
        <v>79</v>
      </c>
      <c r="K52" s="62">
        <f>$E22</f>
        <v>86101.421472000002</v>
      </c>
      <c r="L52" s="62">
        <f t="shared" ref="L52:O53" si="4">$E22</f>
        <v>86101.421472000002</v>
      </c>
      <c r="M52" s="62">
        <f t="shared" si="4"/>
        <v>86101.421472000002</v>
      </c>
      <c r="N52" s="62">
        <f t="shared" si="4"/>
        <v>86101.421472000002</v>
      </c>
      <c r="O52" s="62">
        <f t="shared" si="4"/>
        <v>86101.421472000002</v>
      </c>
    </row>
    <row r="53" spans="2:15" x14ac:dyDescent="0.25">
      <c r="C53" s="62"/>
      <c r="H53" s="62"/>
      <c r="J53" s="62" t="s">
        <v>77</v>
      </c>
      <c r="K53" s="62">
        <f>$E23</f>
        <v>0</v>
      </c>
      <c r="L53" s="62">
        <f t="shared" si="4"/>
        <v>0</v>
      </c>
      <c r="M53" s="62">
        <f t="shared" si="4"/>
        <v>0</v>
      </c>
      <c r="N53" s="62">
        <f t="shared" si="4"/>
        <v>0</v>
      </c>
      <c r="O53" s="62">
        <v>0</v>
      </c>
    </row>
    <row r="54" spans="2:15" x14ac:dyDescent="0.25">
      <c r="C54" s="62"/>
      <c r="H54" s="62"/>
      <c r="J54" s="62"/>
      <c r="K54" s="62"/>
      <c r="L54" s="62"/>
      <c r="M54" s="62"/>
      <c r="N54" s="62"/>
    </row>
    <row r="55" spans="2:15" x14ac:dyDescent="0.25">
      <c r="J55" s="70" t="s">
        <v>14</v>
      </c>
      <c r="K55" s="70">
        <f>SUM(K48:K53)</f>
        <v>119075.77325536104</v>
      </c>
      <c r="L55" s="70">
        <f t="shared" ref="L55:O55" si="5">SUM(L48:L53)</f>
        <v>136355.77325536104</v>
      </c>
      <c r="M55" s="70">
        <f t="shared" si="5"/>
        <v>136355.77325536104</v>
      </c>
      <c r="N55" s="70">
        <f t="shared" si="5"/>
        <v>130355.77325536104</v>
      </c>
      <c r="O55" s="70">
        <f t="shared" si="5"/>
        <v>136355.77325536104</v>
      </c>
    </row>
    <row r="57" spans="2:15" x14ac:dyDescent="0.25">
      <c r="B57" s="68" t="s">
        <v>119</v>
      </c>
      <c r="C57" s="68"/>
      <c r="D57" s="68"/>
      <c r="E57" s="68" t="s">
        <v>120</v>
      </c>
      <c r="F57" s="68"/>
      <c r="G57" s="68"/>
      <c r="H57" s="68"/>
      <c r="I57" s="68"/>
    </row>
    <row r="58" spans="2:15" x14ac:dyDescent="0.25">
      <c r="B58" s="62"/>
      <c r="C58" s="69" t="s">
        <v>122</v>
      </c>
      <c r="D58" s="69"/>
      <c r="E58" s="69" t="s">
        <v>116</v>
      </c>
      <c r="F58" s="69"/>
      <c r="G58" s="69"/>
      <c r="H58" s="69"/>
    </row>
    <row r="59" spans="2:15" x14ac:dyDescent="0.25">
      <c r="B59" s="62" t="s">
        <v>68</v>
      </c>
      <c r="C59" s="62">
        <f>IFERROR(SUMPRODUCT(K48:K53,C37:C42)/K55,)</f>
        <v>187.2773012335075</v>
      </c>
      <c r="E59" s="62">
        <f>SUMPRODUCT(C59:C63,M18:M22)</f>
        <v>32335275.357698418</v>
      </c>
      <c r="F59" s="62"/>
      <c r="G59" s="62"/>
      <c r="H59" s="62"/>
    </row>
    <row r="60" spans="2:15" x14ac:dyDescent="0.25">
      <c r="B60" s="62" t="s">
        <v>66</v>
      </c>
      <c r="C60" s="62">
        <f>IFERROR(SUMPRODUCT(L48:L53,D37:D42)/L55,)</f>
        <v>309.1072242280236</v>
      </c>
      <c r="E60" s="62"/>
      <c r="F60" s="62"/>
      <c r="G60" s="62"/>
      <c r="H60" s="62"/>
    </row>
    <row r="61" spans="2:15" x14ac:dyDescent="0.25">
      <c r="B61" s="62" t="s">
        <v>64</v>
      </c>
      <c r="C61" s="62">
        <f>IFERROR(SUMPRODUCT(M48:M53,E37:E42)/M55,)</f>
        <v>223.70722422802359</v>
      </c>
      <c r="E61" s="62"/>
      <c r="F61" s="62"/>
      <c r="G61" s="62"/>
      <c r="H61" s="62"/>
    </row>
    <row r="62" spans="2:15" x14ac:dyDescent="0.25">
      <c r="B62" s="62" t="s">
        <v>96</v>
      </c>
      <c r="C62" s="62">
        <f>IFERROR(SUMPRODUCT(N48:N53,F37:F42)/N55,)</f>
        <v>137.56022307620231</v>
      </c>
      <c r="E62" s="62"/>
      <c r="F62" s="62"/>
      <c r="G62" s="62"/>
      <c r="H62" s="62"/>
    </row>
    <row r="63" spans="2:15" x14ac:dyDescent="0.25">
      <c r="B63" s="62" t="s">
        <v>77</v>
      </c>
      <c r="C63" s="62">
        <f>IFERROR(SUMPRODUCT(O48:O53,G37:G42)/O55,)</f>
        <v>265.80867578726975</v>
      </c>
      <c r="E63" s="62"/>
      <c r="F63" s="62"/>
      <c r="G63" s="62"/>
      <c r="H63" s="62"/>
    </row>
    <row r="64" spans="2:15" x14ac:dyDescent="0.25">
      <c r="B64" s="62"/>
      <c r="C64" s="62"/>
      <c r="E64" s="62"/>
      <c r="F64" s="62"/>
      <c r="G64" s="62"/>
      <c r="H64" s="62"/>
    </row>
    <row r="65" spans="1:15" x14ac:dyDescent="0.25">
      <c r="B65" s="68" t="s">
        <v>211</v>
      </c>
      <c r="C65" s="68"/>
      <c r="D65" s="68"/>
      <c r="E65" s="68"/>
      <c r="F65" s="68"/>
      <c r="G65" s="68"/>
      <c r="H65" s="68"/>
      <c r="I65" s="68"/>
    </row>
    <row r="66" spans="1:15" x14ac:dyDescent="0.25">
      <c r="B66" s="69" t="s">
        <v>212</v>
      </c>
      <c r="C66" s="69"/>
      <c r="G66" s="69"/>
      <c r="H66" s="69"/>
    </row>
    <row r="67" spans="1:15" x14ac:dyDescent="0.25">
      <c r="B67" s="69" t="s">
        <v>8</v>
      </c>
      <c r="C67" s="62" t="s">
        <v>68</v>
      </c>
      <c r="D67" s="62" t="s">
        <v>66</v>
      </c>
      <c r="E67" s="62" t="s">
        <v>64</v>
      </c>
      <c r="F67" s="62" t="s">
        <v>96</v>
      </c>
      <c r="G67" s="62" t="s">
        <v>77</v>
      </c>
      <c r="H67" s="62"/>
    </row>
    <row r="68" spans="1:15" x14ac:dyDescent="0.25">
      <c r="B68" s="62"/>
      <c r="C68" s="236">
        <f>$E$30/($M$24-$M$21)</f>
        <v>2.3073674737834776E-3</v>
      </c>
      <c r="D68" s="236">
        <f t="shared" ref="D68:F68" si="6">$E$30/($M$24-$M$21)</f>
        <v>2.3073674737834776E-3</v>
      </c>
      <c r="E68" s="236">
        <f t="shared" si="6"/>
        <v>2.3073674737834776E-3</v>
      </c>
      <c r="F68" s="236">
        <f t="shared" si="6"/>
        <v>2.3073674737834776E-3</v>
      </c>
      <c r="G68" s="236">
        <f>$E$30/($M$24-$M$21)</f>
        <v>2.3073674737834776E-3</v>
      </c>
      <c r="H68" s="62"/>
    </row>
    <row r="69" spans="1:15" x14ac:dyDescent="0.25">
      <c r="B69" s="62"/>
      <c r="C69" s="62"/>
      <c r="E69" s="62"/>
      <c r="F69" s="62"/>
      <c r="G69" s="62"/>
      <c r="H69" s="62"/>
    </row>
    <row r="70" spans="1:15" x14ac:dyDescent="0.25">
      <c r="B70" s="69" t="s">
        <v>213</v>
      </c>
      <c r="C70" s="62"/>
      <c r="E70" s="62"/>
      <c r="F70" s="62"/>
      <c r="G70" s="62"/>
      <c r="H70" s="62"/>
    </row>
    <row r="71" spans="1:15" x14ac:dyDescent="0.25">
      <c r="B71" s="62" t="s">
        <v>70</v>
      </c>
      <c r="C71" s="236">
        <f>IFERROR($E$29/($E$24-$E$21),)</f>
        <v>0</v>
      </c>
    </row>
    <row r="72" spans="1:15" x14ac:dyDescent="0.25">
      <c r="B72" s="62" t="s">
        <v>73</v>
      </c>
      <c r="C72" s="236">
        <f t="shared" ref="C72:C76" si="7">IFERROR($E$29/($E$24-$E$21),)</f>
        <v>0</v>
      </c>
      <c r="D72" s="68"/>
      <c r="E72" s="68"/>
      <c r="F72" s="68"/>
      <c r="G72" s="68"/>
      <c r="L72" s="68"/>
      <c r="N72" s="68"/>
      <c r="O72" s="68"/>
    </row>
    <row r="73" spans="1:15" x14ac:dyDescent="0.25">
      <c r="B73" s="62" t="s">
        <v>68</v>
      </c>
      <c r="C73" s="236">
        <f t="shared" si="7"/>
        <v>0</v>
      </c>
    </row>
    <row r="74" spans="1:15" x14ac:dyDescent="0.25">
      <c r="B74" s="62" t="s">
        <v>96</v>
      </c>
      <c r="C74" s="236">
        <f t="shared" si="7"/>
        <v>0</v>
      </c>
      <c r="D74" s="69"/>
      <c r="E74" s="69"/>
      <c r="F74" s="69"/>
      <c r="L74" s="69"/>
      <c r="N74" s="69"/>
      <c r="O74" s="69"/>
    </row>
    <row r="75" spans="1:15" x14ac:dyDescent="0.25">
      <c r="B75" s="62" t="s">
        <v>79</v>
      </c>
      <c r="C75" s="236">
        <f t="shared" si="7"/>
        <v>0</v>
      </c>
      <c r="E75" s="62"/>
      <c r="F75" s="62"/>
      <c r="G75" s="62"/>
      <c r="H75" s="62"/>
    </row>
    <row r="76" spans="1:15" x14ac:dyDescent="0.25">
      <c r="B76" s="62" t="s">
        <v>77</v>
      </c>
      <c r="C76" s="236">
        <f t="shared" si="7"/>
        <v>0</v>
      </c>
      <c r="E76" s="62"/>
      <c r="F76" s="62"/>
      <c r="G76" s="62"/>
      <c r="H76" s="62"/>
    </row>
    <row r="77" spans="1:15" x14ac:dyDescent="0.25">
      <c r="B77" s="62"/>
      <c r="C77" s="62"/>
      <c r="E77" s="62"/>
      <c r="F77" s="62"/>
      <c r="G77" s="62"/>
      <c r="H77" s="62"/>
    </row>
    <row r="80" spans="1:15" ht="18.75" x14ac:dyDescent="0.3">
      <c r="A80" s="58" t="s">
        <v>151</v>
      </c>
    </row>
    <row r="82" spans="2:12" x14ac:dyDescent="0.25">
      <c r="B82" s="68" t="s">
        <v>152</v>
      </c>
      <c r="J82" s="68" t="s">
        <v>153</v>
      </c>
    </row>
    <row r="83" spans="2:12" x14ac:dyDescent="0.25">
      <c r="B83" s="69" t="s">
        <v>154</v>
      </c>
      <c r="C83" s="69" t="s">
        <v>155</v>
      </c>
      <c r="D83" s="69" t="s">
        <v>156</v>
      </c>
      <c r="E83" s="69" t="s">
        <v>156</v>
      </c>
      <c r="F83" s="69" t="s">
        <v>155</v>
      </c>
      <c r="G83" s="69" t="s">
        <v>156</v>
      </c>
      <c r="J83" s="75" t="s">
        <v>157</v>
      </c>
      <c r="K83" s="75"/>
      <c r="L83" s="75"/>
    </row>
    <row r="84" spans="2:12" x14ac:dyDescent="0.25">
      <c r="B84" s="62"/>
      <c r="C84" s="62" t="s">
        <v>64</v>
      </c>
      <c r="D84" s="62" t="s">
        <v>68</v>
      </c>
      <c r="E84" s="62" t="s">
        <v>66</v>
      </c>
      <c r="F84" s="62" t="s">
        <v>96</v>
      </c>
      <c r="G84" s="62" t="s">
        <v>77</v>
      </c>
      <c r="J84" s="74"/>
      <c r="K84" s="69" t="s">
        <v>158</v>
      </c>
      <c r="L84" s="69" t="s">
        <v>159</v>
      </c>
    </row>
    <row r="85" spans="2:12" x14ac:dyDescent="0.25">
      <c r="B85" s="69" t="s">
        <v>160</v>
      </c>
      <c r="C85" s="62">
        <f>M20</f>
        <v>31937.406852220247</v>
      </c>
      <c r="D85" s="62">
        <f>M18</f>
        <v>7894.5576503602697</v>
      </c>
      <c r="E85" s="62">
        <f>M19</f>
        <v>1</v>
      </c>
      <c r="F85" s="62">
        <f>M21</f>
        <v>6000</v>
      </c>
      <c r="G85" s="74">
        <f>M22</f>
        <v>86101.421472000002</v>
      </c>
      <c r="J85" s="76" t="s">
        <v>70</v>
      </c>
      <c r="K85" s="62">
        <f>(K39*E37+K40*F37)/SUM(K39,K40)</f>
        <v>175.41808610812777</v>
      </c>
      <c r="L85" s="62">
        <f>(K37*C37+K38*D37+K41*G37)/SUM(K37,K38,K41)</f>
        <v>235.1727232100105</v>
      </c>
    </row>
    <row r="86" spans="2:12" x14ac:dyDescent="0.25">
      <c r="B86" s="69" t="s">
        <v>161</v>
      </c>
      <c r="C86" s="62">
        <f>C85*C61</f>
        <v>7144628.6359512517</v>
      </c>
      <c r="D86" s="62">
        <f>D85*C59</f>
        <v>1478471.4511918114</v>
      </c>
      <c r="E86" s="62">
        <f>E85*C60</f>
        <v>309.1072242280236</v>
      </c>
      <c r="F86" s="62">
        <f>F85*C62</f>
        <v>825361.33845721383</v>
      </c>
      <c r="G86" s="74">
        <f>G85*C63</f>
        <v>22886504.824873913</v>
      </c>
      <c r="J86" s="76" t="s">
        <v>73</v>
      </c>
      <c r="K86" s="62">
        <f>(L39*E38+L40*F38)/SUM(L39,L40)</f>
        <v>118.61808610812774</v>
      </c>
      <c r="L86" s="62">
        <f>(L37*C38+L38*D38+L41*G38)/SUM(L37,L38,L41)</f>
        <v>178.37272321001052</v>
      </c>
    </row>
    <row r="87" spans="2:12" x14ac:dyDescent="0.25">
      <c r="J87" s="76" t="s">
        <v>68</v>
      </c>
      <c r="K87" s="62">
        <f>(M39*E39+M40*F39)/SUM(M39,M40)</f>
        <v>211.61808610812776</v>
      </c>
      <c r="L87" s="62">
        <f>(M37*C39+M38*D39+M41*G39)/SUM(M37,M38,M41)</f>
        <v>193.20137510650659</v>
      </c>
    </row>
    <row r="88" spans="2:12" x14ac:dyDescent="0.25">
      <c r="C88" s="62" t="s">
        <v>162</v>
      </c>
      <c r="J88" s="76" t="s">
        <v>96</v>
      </c>
      <c r="K88" s="62">
        <f>(N39*E40+N40*F40)/SUM(N39,N40)</f>
        <v>92.2</v>
      </c>
      <c r="L88" s="62">
        <f>(N37*C40+N38*D40+N41*G40)/SUM(N37,N38,N41)</f>
        <v>144.25968631641899</v>
      </c>
    </row>
    <row r="89" spans="2:12" x14ac:dyDescent="0.25">
      <c r="C89" s="62"/>
      <c r="J89" s="76" t="s">
        <v>79</v>
      </c>
      <c r="K89" s="62">
        <f>(O39*E41+O40*F41)/SUM(O39,O40)</f>
        <v>232.4180861081278</v>
      </c>
      <c r="L89" s="62">
        <f>(O37*C41+O38*D41+O41*G41)/SUM(O37,O38,O41)</f>
        <v>292.17272321001059</v>
      </c>
    </row>
    <row r="90" spans="2:12" x14ac:dyDescent="0.25">
      <c r="C90" s="62"/>
      <c r="J90" s="76" t="s">
        <v>77</v>
      </c>
      <c r="K90" s="62">
        <f>(P39*E42+P40*F42)/SUM(P39,P40)</f>
        <v>67.581913891872262</v>
      </c>
      <c r="L90" s="62">
        <f>(P37*C42+P38*D42+P41*G42)/SUM(P37,P38,P41)</f>
        <v>286.17874754293103</v>
      </c>
    </row>
    <row r="91" spans="2:12" x14ac:dyDescent="0.25">
      <c r="B91" s="68" t="s">
        <v>163</v>
      </c>
      <c r="J91" s="68" t="s">
        <v>164</v>
      </c>
      <c r="K91" s="62"/>
      <c r="L91" s="62"/>
    </row>
    <row r="92" spans="2:12" ht="23.25" x14ac:dyDescent="0.25">
      <c r="C92" s="76" t="s">
        <v>165</v>
      </c>
      <c r="D92" s="76" t="s">
        <v>166</v>
      </c>
      <c r="E92" s="76" t="s">
        <v>167</v>
      </c>
      <c r="F92" s="76" t="s">
        <v>168</v>
      </c>
      <c r="G92" s="76" t="s">
        <v>169</v>
      </c>
      <c r="J92" s="76" t="s">
        <v>170</v>
      </c>
      <c r="K92" s="62">
        <f>SUMPRODUCT(C93:C98,C71:C76)</f>
        <v>0</v>
      </c>
      <c r="L92" s="62"/>
    </row>
    <row r="93" spans="2:12" ht="23.25" x14ac:dyDescent="0.25">
      <c r="B93" s="76" t="s">
        <v>70</v>
      </c>
      <c r="C93" s="62">
        <f t="shared" ref="C93:C98" si="8">SUM($D$85,$E$85,$G$85)/SUM($E$18:$E$23)*E18</f>
        <v>14342.877954499656</v>
      </c>
      <c r="D93" s="62" t="s">
        <v>171</v>
      </c>
      <c r="E93" s="62">
        <f t="shared" ref="E93:E98" si="9">E18-C93</f>
        <v>6463.4738288613898</v>
      </c>
      <c r="F93" s="62">
        <f>C93*L85</f>
        <v>3373053.6672285092</v>
      </c>
      <c r="G93" s="62">
        <f>E93*K85</f>
        <v>1133810.2086688376</v>
      </c>
      <c r="J93" s="76" t="s">
        <v>172</v>
      </c>
      <c r="K93" s="62">
        <f>E29-K92</f>
        <v>0</v>
      </c>
      <c r="L93" s="62"/>
    </row>
    <row r="94" spans="2:12" ht="23.25" x14ac:dyDescent="0.25">
      <c r="B94" s="76" t="s">
        <v>73</v>
      </c>
      <c r="C94" s="62">
        <f t="shared" si="8"/>
        <v>4251.9165370500614</v>
      </c>
      <c r="D94" s="62" t="s">
        <v>171</v>
      </c>
      <c r="E94" s="62">
        <f t="shared" si="9"/>
        <v>1916.0834629499386</v>
      </c>
      <c r="F94" s="62">
        <f>C94*L86</f>
        <v>758425.93157529703</v>
      </c>
      <c r="G94" s="62">
        <f>E94*K86</f>
        <v>227282.1531985554</v>
      </c>
      <c r="J94" s="76" t="s">
        <v>173</v>
      </c>
      <c r="K94" s="62">
        <f>D85*C68+E85*D68+G85*G68</f>
        <v>216.8855722608387</v>
      </c>
      <c r="L94" s="62"/>
    </row>
    <row r="95" spans="2:12" ht="23.25" x14ac:dyDescent="0.25">
      <c r="B95" s="76" t="s">
        <v>68</v>
      </c>
      <c r="C95" s="62">
        <f t="shared" si="8"/>
        <v>11911.984072669435</v>
      </c>
      <c r="D95" s="62" t="s">
        <v>171</v>
      </c>
      <c r="E95" s="62">
        <f t="shared" si="9"/>
        <v>5368.0159273305653</v>
      </c>
      <c r="F95" s="62">
        <f>C95*L87</f>
        <v>2301411.7030865396</v>
      </c>
      <c r="G95" s="62">
        <f>E95*K87</f>
        <v>1135969.2567396408</v>
      </c>
      <c r="J95" s="76" t="s">
        <v>174</v>
      </c>
      <c r="K95" s="62">
        <f>E30-K94</f>
        <v>73.691333767802547</v>
      </c>
      <c r="L95" s="62"/>
    </row>
    <row r="96" spans="2:12" x14ac:dyDescent="0.25">
      <c r="B96" s="76" t="s">
        <v>96</v>
      </c>
      <c r="C96" s="62">
        <f t="shared" si="8"/>
        <v>4136.1055807879975</v>
      </c>
      <c r="D96" s="62" t="s">
        <v>171</v>
      </c>
      <c r="E96" s="62">
        <f t="shared" si="9"/>
        <v>1863.8944192120025</v>
      </c>
      <c r="F96" s="62">
        <f>C96*L88</f>
        <v>596673.29365606653</v>
      </c>
      <c r="G96" s="62">
        <f>E96*K88</f>
        <v>171851.06545134663</v>
      </c>
      <c r="H96" s="69"/>
      <c r="J96" s="77" t="s">
        <v>175</v>
      </c>
      <c r="K96" s="62">
        <f>K93+K95</f>
        <v>73.691333767802547</v>
      </c>
      <c r="L96" s="62"/>
    </row>
    <row r="97" spans="2:12" x14ac:dyDescent="0.25">
      <c r="B97" s="76" t="s">
        <v>79</v>
      </c>
      <c r="C97" s="62">
        <f>SUM($D$85,$E$85,$G$85)/SUM($E$18:$E$23)*E22</f>
        <v>59354.094977353125</v>
      </c>
      <c r="D97" s="62"/>
      <c r="E97" s="62">
        <f t="shared" si="9"/>
        <v>26747.326494646877</v>
      </c>
      <c r="F97" s="62">
        <f t="shared" ref="F97:F98" si="10">C97*L89</f>
        <v>17341647.563198876</v>
      </c>
      <c r="G97" s="62">
        <f t="shared" ref="G97:G98" si="11">E97*K89</f>
        <v>6216562.4323950456</v>
      </c>
      <c r="H97" s="69"/>
      <c r="J97" s="77"/>
      <c r="K97" s="62"/>
      <c r="L97" s="62"/>
    </row>
    <row r="98" spans="2:12" x14ac:dyDescent="0.25">
      <c r="B98" s="76" t="s">
        <v>77</v>
      </c>
      <c r="C98" s="62">
        <f t="shared" si="8"/>
        <v>0</v>
      </c>
      <c r="D98" s="62"/>
      <c r="E98" s="62">
        <f t="shared" si="9"/>
        <v>0</v>
      </c>
      <c r="F98" s="62">
        <f t="shared" si="10"/>
        <v>0</v>
      </c>
      <c r="G98" s="62">
        <f t="shared" si="11"/>
        <v>0</v>
      </c>
      <c r="H98" s="69"/>
      <c r="J98" s="77"/>
      <c r="K98" s="62"/>
      <c r="L98" s="62"/>
    </row>
    <row r="99" spans="2:12" x14ac:dyDescent="0.25">
      <c r="B99" s="76"/>
      <c r="C99" s="62"/>
      <c r="D99" s="62"/>
      <c r="E99" s="62"/>
      <c r="F99" s="62"/>
      <c r="G99" s="62"/>
      <c r="J99" s="77" t="s">
        <v>176</v>
      </c>
      <c r="K99" s="62">
        <f>K92+K94</f>
        <v>216.8855722608387</v>
      </c>
      <c r="L99" s="62"/>
    </row>
    <row r="100" spans="2:12" x14ac:dyDescent="0.25">
      <c r="B100" s="76" t="s">
        <v>177</v>
      </c>
      <c r="C100" s="62">
        <f>SUM(C93:C98)</f>
        <v>93996.979122360266</v>
      </c>
      <c r="D100" s="62"/>
      <c r="E100" s="62">
        <f>SUM(E93:E98)</f>
        <v>42358.794133000774</v>
      </c>
      <c r="F100" s="62">
        <f>SUM(F93:F98)</f>
        <v>24371212.158745289</v>
      </c>
      <c r="G100" s="62">
        <f>SUM(G93:G98)</f>
        <v>8885475.116453426</v>
      </c>
    </row>
    <row r="101" spans="2:12" x14ac:dyDescent="0.25">
      <c r="B101" s="76"/>
      <c r="C101" s="62"/>
      <c r="D101" s="62"/>
      <c r="E101" s="62"/>
      <c r="F101" s="62"/>
      <c r="G101" s="62"/>
    </row>
    <row r="102" spans="2:12" x14ac:dyDescent="0.25">
      <c r="B102" s="76" t="s">
        <v>178</v>
      </c>
      <c r="C102" s="62">
        <f>SUM(D85,E85,G85)</f>
        <v>93996.979122360266</v>
      </c>
      <c r="D102" s="62"/>
      <c r="E102" s="62"/>
      <c r="F102" s="62"/>
      <c r="G102" s="62"/>
    </row>
    <row r="103" spans="2:12" x14ac:dyDescent="0.25">
      <c r="B103" s="76"/>
    </row>
    <row r="104" spans="2:12" x14ac:dyDescent="0.25">
      <c r="B104" s="76"/>
    </row>
    <row r="105" spans="2:12" x14ac:dyDescent="0.25">
      <c r="B105" s="68" t="s">
        <v>179</v>
      </c>
      <c r="J105" s="68" t="s">
        <v>180</v>
      </c>
    </row>
    <row r="106" spans="2:12" ht="29.25" customHeight="1" x14ac:dyDescent="0.25">
      <c r="B106" s="76" t="s">
        <v>169</v>
      </c>
      <c r="C106" s="78"/>
      <c r="D106" s="62">
        <f>G100</f>
        <v>8885475.116453426</v>
      </c>
      <c r="E106" s="62"/>
      <c r="J106" s="79" t="s">
        <v>181</v>
      </c>
      <c r="K106" s="80"/>
      <c r="L106" s="81"/>
    </row>
    <row r="107" spans="2:12" ht="27" customHeight="1" x14ac:dyDescent="0.25">
      <c r="B107" s="76" t="s">
        <v>182</v>
      </c>
      <c r="C107" s="78"/>
      <c r="D107" s="62">
        <f>C86+F86</f>
        <v>7969989.9744084654</v>
      </c>
      <c r="E107" s="62"/>
      <c r="J107" s="82" t="s">
        <v>183</v>
      </c>
      <c r="K107" s="83">
        <f>K96*10^6/D108</f>
        <v>4.3719549339373582</v>
      </c>
      <c r="L107" s="84" t="s">
        <v>184</v>
      </c>
    </row>
    <row r="108" spans="2:12" ht="31.5" customHeight="1" x14ac:dyDescent="0.25">
      <c r="B108" s="77" t="s">
        <v>185</v>
      </c>
      <c r="C108" s="78"/>
      <c r="D108" s="62">
        <f>SUM(D106:D107)</f>
        <v>16855465.09086189</v>
      </c>
      <c r="E108" s="62"/>
      <c r="J108" s="82" t="s">
        <v>186</v>
      </c>
      <c r="K108" s="83">
        <f>K99*10^6/D111</f>
        <v>4.4501673940310305</v>
      </c>
      <c r="L108" s="84" t="s">
        <v>187</v>
      </c>
    </row>
    <row r="109" spans="2:12" ht="28.5" customHeight="1" x14ac:dyDescent="0.25">
      <c r="B109" s="76" t="s">
        <v>188</v>
      </c>
      <c r="C109" s="78"/>
      <c r="D109" s="62">
        <f>F100</f>
        <v>24371212.158745289</v>
      </c>
      <c r="E109" s="62"/>
      <c r="J109" s="82" t="s">
        <v>189</v>
      </c>
      <c r="K109" s="85">
        <f>2*(ABS(K107-K108))/(K107+K108)</f>
        <v>1.7730985172517654E-2</v>
      </c>
      <c r="L109" s="84" t="s">
        <v>190</v>
      </c>
    </row>
    <row r="110" spans="2:12" ht="34.5" customHeight="1" x14ac:dyDescent="0.25">
      <c r="B110" s="76" t="s">
        <v>191</v>
      </c>
      <c r="C110" s="78"/>
      <c r="D110" s="62">
        <f>SUM(D86,E86,G86)</f>
        <v>24365285.383289952</v>
      </c>
      <c r="E110" s="62"/>
    </row>
    <row r="111" spans="2:12" ht="30" customHeight="1" x14ac:dyDescent="0.25">
      <c r="B111" s="77" t="s">
        <v>192</v>
      </c>
      <c r="C111" s="78"/>
      <c r="D111" s="62">
        <f>SUM(D109:D110)</f>
        <v>48736497.542035237</v>
      </c>
      <c r="E111" s="62"/>
    </row>
    <row r="112" spans="2:12" x14ac:dyDescent="0.25">
      <c r="D112" s="62"/>
      <c r="E112" s="62"/>
    </row>
    <row r="113" spans="4:5" x14ac:dyDescent="0.25">
      <c r="D113" s="62"/>
      <c r="E113" s="62"/>
    </row>
  </sheetData>
  <conditionalFormatting sqref="K109">
    <cfRule type="cellIs" dxfId="1" priority="1" operator="lessThan">
      <formula>0.1</formula>
    </cfRule>
    <cfRule type="cellIs" dxfId="0" priority="2" operator="greaterThan">
      <formula>0.1</formula>
    </cfRule>
  </conditionalFormatting>
  <dataValidations count="1">
    <dataValidation type="list" allowBlank="1" showInputMessage="1" showErrorMessage="1" sqref="F12" xr:uid="{00000000-0002-0000-2500-000000000000}">
      <formula1>"Nybro (P1),New entry point (BP1)"</formula1>
    </dataValidation>
  </dataValidations>
  <pageMargins left="0.7" right="0.7" top="0.75" bottom="0.75" header="0.3" footer="0.3"/>
  <pageSetup paperSize="9" orientation="portrait" horizontalDpi="1200" verticalDpi="1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FF0000"/>
  </sheetPr>
  <dimension ref="A1:N47"/>
  <sheetViews>
    <sheetView workbookViewId="0">
      <selection activeCell="A25" sqref="A25"/>
    </sheetView>
  </sheetViews>
  <sheetFormatPr defaultColWidth="9.140625" defaultRowHeight="15" x14ac:dyDescent="0.25"/>
  <cols>
    <col min="1" max="1" width="31.85546875" style="53" bestFit="1" customWidth="1"/>
    <col min="2" max="2" width="11.42578125" style="53" customWidth="1"/>
    <col min="3" max="3" width="12" style="53" customWidth="1"/>
    <col min="4" max="4" width="12.5703125" style="53" customWidth="1"/>
    <col min="5" max="5" width="12.42578125" style="53" customWidth="1"/>
    <col min="6" max="6" width="13.5703125" style="53" customWidth="1"/>
    <col min="7" max="7" width="9.140625" style="53"/>
    <col min="8" max="8" width="17.42578125" style="53" customWidth="1"/>
    <col min="9" max="9" width="15.42578125" style="53" customWidth="1"/>
    <col min="10" max="10" width="10.5703125" style="53" customWidth="1"/>
    <col min="11" max="11" width="20.85546875" style="53" customWidth="1"/>
    <col min="12" max="16384" width="9.140625" style="53"/>
  </cols>
  <sheetData>
    <row r="1" spans="1:14" ht="15.75" thickBot="1" x14ac:dyDescent="0.3">
      <c r="C1" s="137">
        <f>C4/$B$4</f>
        <v>1.0293126054432413E-2</v>
      </c>
      <c r="D1" s="137">
        <f>D4/$B$4</f>
        <v>3.2342648591098609E-2</v>
      </c>
      <c r="E1" s="137">
        <f>E4/$B$4</f>
        <v>4.8061411312064185E-2</v>
      </c>
      <c r="F1" s="137">
        <f>F4/$B$4</f>
        <v>0.90930281404240487</v>
      </c>
    </row>
    <row r="2" spans="1:14" ht="45.75" thickBot="1" x14ac:dyDescent="0.3">
      <c r="A2" s="138" t="s">
        <v>217</v>
      </c>
      <c r="B2" s="139" t="s">
        <v>218</v>
      </c>
      <c r="C2" s="140" t="s">
        <v>219</v>
      </c>
      <c r="D2" s="141" t="s">
        <v>220</v>
      </c>
      <c r="E2" s="141" t="s">
        <v>221</v>
      </c>
      <c r="F2" s="142" t="s">
        <v>222</v>
      </c>
      <c r="H2" s="143" t="s">
        <v>223</v>
      </c>
      <c r="I2" s="278" t="s">
        <v>36</v>
      </c>
      <c r="K2" s="143" t="s">
        <v>224</v>
      </c>
      <c r="L2" s="144">
        <v>2025</v>
      </c>
    </row>
    <row r="3" spans="1:14" x14ac:dyDescent="0.25">
      <c r="A3" s="145" t="s">
        <v>225</v>
      </c>
      <c r="B3" s="146">
        <f>L6</f>
        <v>290.57690602864125</v>
      </c>
      <c r="C3" s="147"/>
      <c r="D3" s="147"/>
      <c r="E3" s="147"/>
      <c r="F3" s="148">
        <f>B3</f>
        <v>290.57690602864125</v>
      </c>
      <c r="H3" s="149" t="s">
        <v>226</v>
      </c>
      <c r="I3" s="150">
        <f>'Forecasted Capacities'!G3</f>
        <v>31937.406852220247</v>
      </c>
      <c r="K3" s="151" t="s">
        <v>16</v>
      </c>
      <c r="L3" s="152">
        <f>Costbase!G31</f>
        <v>678.01278073349602</v>
      </c>
    </row>
    <row r="4" spans="1:14" x14ac:dyDescent="0.25">
      <c r="A4" s="153" t="s">
        <v>227</v>
      </c>
      <c r="B4" s="154">
        <f>L3</f>
        <v>678.01278073349602</v>
      </c>
      <c r="C4" s="155">
        <f>(1/3)*L11</f>
        <v>6.9788710186061182</v>
      </c>
      <c r="D4" s="155">
        <f>((1/3)*L11)+(L12*(2/3))</f>
        <v>21.928729107537055</v>
      </c>
      <c r="E4" s="155">
        <f>(I15/(I13+I18))*(B4-C4-D4)</f>
        <v>32.586251129668938</v>
      </c>
      <c r="F4" s="156">
        <f>B4-C4-D4-E4</f>
        <v>616.51892947768397</v>
      </c>
      <c r="H4" s="149" t="s">
        <v>228</v>
      </c>
      <c r="I4" s="150">
        <f>'Forecasted Capacities'!G4</f>
        <v>1</v>
      </c>
      <c r="K4" s="157" t="s">
        <v>229</v>
      </c>
      <c r="L4" s="152">
        <v>43.361400189214763</v>
      </c>
    </row>
    <row r="5" spans="1:14" x14ac:dyDescent="0.25">
      <c r="A5" s="153" t="s">
        <v>230</v>
      </c>
      <c r="B5" s="154"/>
      <c r="C5" s="158"/>
      <c r="D5" s="158"/>
      <c r="E5" s="158"/>
      <c r="F5" s="156">
        <f>-C5</f>
        <v>0</v>
      </c>
      <c r="H5" s="159" t="s">
        <v>231</v>
      </c>
      <c r="I5" s="150">
        <f>'Forecasted Capacities'!G5</f>
        <v>7894.5576503602697</v>
      </c>
      <c r="K5" s="157" t="s">
        <v>232</v>
      </c>
      <c r="L5" s="160" t="e">
        <f>Costbase!#REF!</f>
        <v>#REF!</v>
      </c>
      <c r="N5" s="222" t="s">
        <v>259</v>
      </c>
    </row>
    <row r="6" spans="1:14" ht="15.75" thickBot="1" x14ac:dyDescent="0.3">
      <c r="A6" s="161" t="s">
        <v>263</v>
      </c>
      <c r="B6" s="162">
        <f>SUM(B3:B4)</f>
        <v>968.58968676213726</v>
      </c>
      <c r="C6" s="162">
        <f>SUM(C3:C5)</f>
        <v>6.9788710186061182</v>
      </c>
      <c r="D6" s="162">
        <f>SUM(D3:D4)</f>
        <v>21.928729107537055</v>
      </c>
      <c r="E6" s="162">
        <f>SUM(E3:E4)</f>
        <v>32.586251129668938</v>
      </c>
      <c r="F6" s="163">
        <f>SUM(F3:F5)</f>
        <v>907.09583550632522</v>
      </c>
      <c r="H6" s="159" t="s">
        <v>9</v>
      </c>
      <c r="I6" s="150">
        <f>'Forecasted Capacities'!G7</f>
        <v>86101.421472000002</v>
      </c>
      <c r="K6" s="151" t="s">
        <v>15</v>
      </c>
      <c r="L6" s="152">
        <f>Costbase!G32</f>
        <v>290.57690602864125</v>
      </c>
    </row>
    <row r="7" spans="1:14" ht="16.5" thickTop="1" thickBot="1" x14ac:dyDescent="0.3">
      <c r="A7" s="166" t="s">
        <v>234</v>
      </c>
      <c r="B7" s="167"/>
      <c r="C7" s="168"/>
      <c r="D7" s="168"/>
      <c r="E7" s="168"/>
      <c r="F7" s="156"/>
      <c r="H7" s="164" t="s">
        <v>233</v>
      </c>
      <c r="I7" s="165">
        <f>SUM(I3:I6)</f>
        <v>125934.38597458051</v>
      </c>
      <c r="K7" s="151" t="s">
        <v>236</v>
      </c>
      <c r="L7" s="160">
        <f>L3/(L3+L6)</f>
        <v>0.7</v>
      </c>
    </row>
    <row r="8" spans="1:14" ht="15.75" thickTop="1" x14ac:dyDescent="0.25">
      <c r="A8" s="166" t="s">
        <v>237</v>
      </c>
      <c r="B8" s="167"/>
      <c r="C8" s="171"/>
      <c r="D8" s="171"/>
      <c r="E8" s="171"/>
      <c r="F8" s="171"/>
      <c r="H8" s="169" t="s">
        <v>235</v>
      </c>
      <c r="I8" s="170"/>
      <c r="K8" s="151"/>
      <c r="L8" s="152"/>
    </row>
    <row r="9" spans="1:14" x14ac:dyDescent="0.25">
      <c r="A9" s="172" t="s">
        <v>238</v>
      </c>
      <c r="B9" s="167"/>
      <c r="C9" s="171"/>
      <c r="D9" s="171"/>
      <c r="E9" s="171"/>
      <c r="F9" s="156"/>
      <c r="H9" s="149" t="s">
        <v>63</v>
      </c>
      <c r="I9" s="150">
        <f>'Forecasted Capacities'!G11</f>
        <v>3395833.3333333335</v>
      </c>
      <c r="K9" s="151" t="s">
        <v>239</v>
      </c>
      <c r="L9" s="160">
        <v>0.48283987519909233</v>
      </c>
    </row>
    <row r="10" spans="1:14" x14ac:dyDescent="0.25">
      <c r="A10" s="173" t="s">
        <v>240</v>
      </c>
      <c r="B10" s="174">
        <f>SUM(B7:B9)</f>
        <v>0</v>
      </c>
      <c r="C10" s="174">
        <f t="shared" ref="C10:F10" si="0">SUM(C7:C9)</f>
        <v>0</v>
      </c>
      <c r="D10" s="174">
        <f t="shared" si="0"/>
        <v>0</v>
      </c>
      <c r="E10" s="174">
        <f>SUM(E7:E9)</f>
        <v>0</v>
      </c>
      <c r="F10" s="175">
        <f t="shared" si="0"/>
        <v>0</v>
      </c>
      <c r="H10" s="149" t="s">
        <v>65</v>
      </c>
      <c r="I10" s="150">
        <f>'Forecasted Capacities'!G12</f>
        <v>1</v>
      </c>
      <c r="K10" s="176" t="s">
        <v>241</v>
      </c>
      <c r="L10" s="177">
        <v>0.51716012480090767</v>
      </c>
    </row>
    <row r="11" spans="1:14" x14ac:dyDescent="0.25">
      <c r="A11" s="178"/>
      <c r="B11" s="179"/>
      <c r="C11" s="180"/>
      <c r="D11" s="180"/>
      <c r="E11" s="180"/>
      <c r="F11" s="181"/>
      <c r="H11" s="159" t="s">
        <v>67</v>
      </c>
      <c r="I11" s="150">
        <f>'Forecasted Capacities'!G13</f>
        <v>1200000</v>
      </c>
      <c r="K11" s="176" t="s">
        <v>243</v>
      </c>
      <c r="L11" s="182">
        <v>20.936613055818356</v>
      </c>
    </row>
    <row r="12" spans="1:14" ht="15.75" thickBot="1" x14ac:dyDescent="0.3">
      <c r="A12" s="173" t="s">
        <v>244</v>
      </c>
      <c r="B12" s="183" t="s">
        <v>218</v>
      </c>
      <c r="C12" s="184" t="s">
        <v>243</v>
      </c>
      <c r="D12" s="184" t="s">
        <v>245</v>
      </c>
      <c r="E12" s="184"/>
      <c r="F12" s="185" t="s">
        <v>246</v>
      </c>
      <c r="H12" s="159" t="s">
        <v>264</v>
      </c>
      <c r="I12" s="150">
        <f>'Forecasted Capacities'!G14</f>
        <v>10994517.589041095</v>
      </c>
      <c r="K12" s="187" t="s">
        <v>245</v>
      </c>
      <c r="L12" s="188">
        <v>22.424787133396407</v>
      </c>
    </row>
    <row r="13" spans="1:14" ht="16.5" thickTop="1" thickBot="1" x14ac:dyDescent="0.3">
      <c r="A13" s="153" t="s">
        <v>225</v>
      </c>
      <c r="B13" s="167">
        <f>B3-B7+F5</f>
        <v>290.57690602864125</v>
      </c>
      <c r="C13" s="171"/>
      <c r="D13" s="171"/>
      <c r="E13" s="171"/>
      <c r="F13" s="156">
        <f>F3+F5</f>
        <v>290.57690602864125</v>
      </c>
      <c r="H13" s="164" t="s">
        <v>242</v>
      </c>
      <c r="I13" s="165">
        <f>SUM(I9:I12)</f>
        <v>15590351.922374429</v>
      </c>
      <c r="J13" s="150"/>
    </row>
    <row r="14" spans="1:14" ht="15.75" thickTop="1" x14ac:dyDescent="0.25">
      <c r="A14" s="153" t="s">
        <v>227</v>
      </c>
      <c r="B14" s="189">
        <f>B4-B8</f>
        <v>678.01278073349602</v>
      </c>
      <c r="C14" s="189">
        <f>C6-C10</f>
        <v>6.9788710186061182</v>
      </c>
      <c r="D14" s="189">
        <f>D4-D10</f>
        <v>21.928729107537055</v>
      </c>
      <c r="E14" s="189">
        <f>E4-E10</f>
        <v>32.586251129668938</v>
      </c>
      <c r="F14" s="189">
        <f>F4-F8-F9</f>
        <v>616.51892947768397</v>
      </c>
      <c r="H14" s="186" t="s">
        <v>247</v>
      </c>
      <c r="I14" s="150">
        <f>'Forecasted Capacities'!G16</f>
        <v>2562500</v>
      </c>
    </row>
    <row r="15" spans="1:14" ht="15.75" thickBot="1" x14ac:dyDescent="0.3">
      <c r="A15" s="190" t="s">
        <v>218</v>
      </c>
      <c r="B15" s="191">
        <f>SUM(B13:B14)</f>
        <v>968.58968676213726</v>
      </c>
      <c r="C15" s="191">
        <f t="shared" ref="C15:E15" si="1">SUM(C13:C14)</f>
        <v>6.9788710186061182</v>
      </c>
      <c r="D15" s="191">
        <f t="shared" si="1"/>
        <v>21.928729107537055</v>
      </c>
      <c r="E15" s="191">
        <f t="shared" si="1"/>
        <v>32.586251129668938</v>
      </c>
      <c r="F15" s="192">
        <f>SUM(F13:F14)</f>
        <v>907.09583550632522</v>
      </c>
      <c r="H15" s="159" t="s">
        <v>71</v>
      </c>
      <c r="I15" s="150">
        <f>'Forecasted Capacities'!G17</f>
        <v>1587500</v>
      </c>
    </row>
    <row r="16" spans="1:14" x14ac:dyDescent="0.25">
      <c r="H16" s="159" t="s">
        <v>72</v>
      </c>
      <c r="I16" s="150">
        <f>'Forecasted Capacities'!G18</f>
        <v>887500.00000000012</v>
      </c>
    </row>
    <row r="17" spans="1:12" ht="15.75" thickBot="1" x14ac:dyDescent="0.3">
      <c r="H17" s="159" t="s">
        <v>265</v>
      </c>
      <c r="I17" s="150">
        <f>'Forecasted Capacities'!G19</f>
        <v>10994517.589041095</v>
      </c>
    </row>
    <row r="18" spans="1:12" ht="35.25" thickTop="1" thickBot="1" x14ac:dyDescent="0.3">
      <c r="A18" s="138" t="s">
        <v>250</v>
      </c>
      <c r="B18" s="195" t="s">
        <v>199</v>
      </c>
      <c r="C18" s="196" t="s">
        <v>29</v>
      </c>
      <c r="D18" s="197" t="s">
        <v>251</v>
      </c>
      <c r="E18" s="198" t="s">
        <v>252</v>
      </c>
      <c r="F18" s="142" t="s">
        <v>253</v>
      </c>
      <c r="H18" s="193" t="s">
        <v>248</v>
      </c>
      <c r="I18" s="194">
        <f>SUM(I14:I17)</f>
        <v>16032017.589041095</v>
      </c>
    </row>
    <row r="19" spans="1:12" ht="15.75" thickBot="1" x14ac:dyDescent="0.3">
      <c r="A19" s="201" t="s">
        <v>255</v>
      </c>
      <c r="B19" s="202">
        <v>12.945207090671333</v>
      </c>
      <c r="C19" s="203">
        <v>15.821607578251736</v>
      </c>
      <c r="D19" s="203">
        <v>14.231059990149252</v>
      </c>
      <c r="E19" s="204">
        <v>11.060432311571477</v>
      </c>
      <c r="F19" s="203">
        <v>10.44720409942445</v>
      </c>
    </row>
    <row r="20" spans="1:12" x14ac:dyDescent="0.25">
      <c r="A20" s="161" t="s">
        <v>256</v>
      </c>
      <c r="B20" s="205">
        <f>B14*10^6/(I13+I18)</f>
        <v>21.440922714179806</v>
      </c>
      <c r="C20" s="206">
        <f>C14*10^6/I15+E20</f>
        <v>24.922911589464604</v>
      </c>
      <c r="D20" s="206">
        <f>D14*10^6/(I9+I10)+F20</f>
        <v>26.984310323427732</v>
      </c>
      <c r="E20" s="207">
        <f>E14/I15*10^6</f>
        <v>20.526772365145789</v>
      </c>
      <c r="F20" s="206">
        <f>F14/(I13+I18-I15)*10^6</f>
        <v>20.526772365145789</v>
      </c>
      <c r="H20" s="143" t="s">
        <v>249</v>
      </c>
      <c r="I20" s="144">
        <v>2017</v>
      </c>
    </row>
    <row r="21" spans="1:12" ht="15.75" thickBot="1" x14ac:dyDescent="0.3">
      <c r="A21" s="208" t="s">
        <v>257</v>
      </c>
      <c r="B21" s="187">
        <f>$B$13/$I$7</f>
        <v>2.3073674737834776E-3</v>
      </c>
      <c r="C21" s="187">
        <f>$B$13/$I$7</f>
        <v>2.3073674737834776E-3</v>
      </c>
      <c r="D21" s="237">
        <f>$B$13/$I$7</f>
        <v>2.3073674737834776E-3</v>
      </c>
      <c r="E21" s="238">
        <f>D21</f>
        <v>2.3073674737834776E-3</v>
      </c>
      <c r="F21" s="237">
        <f>$B$13/$I$7</f>
        <v>2.3073674737834776E-3</v>
      </c>
      <c r="H21" s="199" t="s">
        <v>254</v>
      </c>
      <c r="I21" s="200"/>
    </row>
    <row r="22" spans="1:12" ht="15.75" thickBot="1" x14ac:dyDescent="0.3">
      <c r="A22" s="212" t="s">
        <v>258</v>
      </c>
      <c r="B22" s="213" t="s">
        <v>171</v>
      </c>
      <c r="C22" s="214">
        <f>(C20-$B$20)/$B$20</f>
        <v>0.16239920835972277</v>
      </c>
      <c r="D22" s="214">
        <f>(D20-$B$20)/$B$20</f>
        <v>0.25854239965063841</v>
      </c>
      <c r="E22" s="214"/>
      <c r="F22" s="214">
        <f>(F20-$B$20)/$B$20</f>
        <v>-4.2635774645530998E-2</v>
      </c>
      <c r="K22" s="50"/>
      <c r="L22" s="50"/>
    </row>
    <row r="23" spans="1:12" x14ac:dyDescent="0.25">
      <c r="G23" s="50"/>
      <c r="H23" s="50"/>
      <c r="I23" s="50"/>
      <c r="K23" s="50"/>
      <c r="L23" s="50"/>
    </row>
    <row r="24" spans="1:12" x14ac:dyDescent="0.25">
      <c r="A24" s="50"/>
      <c r="B24" s="50"/>
      <c r="C24" s="50"/>
      <c r="D24" s="50"/>
      <c r="E24" s="50"/>
      <c r="F24" s="50"/>
      <c r="G24" s="50"/>
      <c r="H24" s="50"/>
      <c r="I24" s="50"/>
      <c r="K24" s="50"/>
      <c r="L24" s="50"/>
    </row>
    <row r="25" spans="1:12" x14ac:dyDescent="0.25">
      <c r="A25" s="215"/>
      <c r="B25" s="50"/>
      <c r="C25" s="50"/>
      <c r="D25" s="50"/>
      <c r="E25" s="50"/>
      <c r="F25" s="50"/>
      <c r="G25" s="50"/>
      <c r="H25" s="50"/>
      <c r="I25" s="50"/>
      <c r="K25" s="50"/>
      <c r="L25" s="50"/>
    </row>
    <row r="26" spans="1:12" x14ac:dyDescent="0.25">
      <c r="A26" s="215"/>
      <c r="B26" s="50"/>
      <c r="C26" s="50"/>
      <c r="G26" s="50"/>
      <c r="H26" s="50"/>
      <c r="I26" s="50"/>
      <c r="K26" s="50"/>
      <c r="L26" s="50"/>
    </row>
    <row r="27" spans="1:12" x14ac:dyDescent="0.25">
      <c r="A27" s="215"/>
      <c r="B27" s="50"/>
      <c r="C27" s="50"/>
      <c r="G27" s="50"/>
      <c r="H27" s="50"/>
      <c r="I27" s="50"/>
      <c r="K27" s="50"/>
      <c r="L27" s="50"/>
    </row>
    <row r="28" spans="1:12" x14ac:dyDescent="0.25">
      <c r="A28" s="215"/>
      <c r="B28" s="50"/>
      <c r="C28" s="50"/>
      <c r="G28" s="50"/>
      <c r="H28" s="50"/>
      <c r="I28" s="50"/>
      <c r="K28" s="50"/>
      <c r="L28" s="50"/>
    </row>
    <row r="29" spans="1:12" x14ac:dyDescent="0.25">
      <c r="A29" s="215"/>
      <c r="B29" s="50"/>
      <c r="C29" s="50"/>
      <c r="G29" s="50"/>
      <c r="H29" s="50"/>
      <c r="I29" s="50"/>
      <c r="K29" s="50"/>
      <c r="L29" s="50"/>
    </row>
    <row r="30" spans="1:12" x14ac:dyDescent="0.25">
      <c r="A30" s="215"/>
      <c r="B30" s="50"/>
      <c r="C30" s="50"/>
      <c r="G30" s="50"/>
      <c r="H30" s="50"/>
      <c r="I30" s="50"/>
    </row>
    <row r="31" spans="1:12" x14ac:dyDescent="0.25">
      <c r="A31" s="215"/>
      <c r="B31" s="50"/>
      <c r="C31" s="50"/>
      <c r="G31" s="50"/>
      <c r="H31" s="50"/>
      <c r="I31" s="50"/>
    </row>
    <row r="32" spans="1:12" x14ac:dyDescent="0.25">
      <c r="A32" s="50"/>
      <c r="B32" s="50"/>
      <c r="C32" s="50"/>
    </row>
    <row r="40" spans="7:10" x14ac:dyDescent="0.25">
      <c r="G40" s="50"/>
      <c r="H40" s="216"/>
      <c r="I40" s="50"/>
      <c r="J40" s="50"/>
    </row>
    <row r="41" spans="7:10" x14ac:dyDescent="0.25">
      <c r="G41" s="50"/>
      <c r="H41" s="216"/>
      <c r="I41" s="50"/>
      <c r="J41" s="50"/>
    </row>
    <row r="42" spans="7:10" x14ac:dyDescent="0.25">
      <c r="G42" s="50"/>
      <c r="H42" s="216"/>
      <c r="I42" s="50"/>
      <c r="J42" s="50"/>
    </row>
    <row r="43" spans="7:10" x14ac:dyDescent="0.25">
      <c r="G43" s="50"/>
      <c r="H43" s="216"/>
      <c r="I43" s="50"/>
      <c r="J43" s="50"/>
    </row>
    <row r="44" spans="7:10" x14ac:dyDescent="0.25">
      <c r="G44" s="50"/>
      <c r="H44" s="216"/>
      <c r="I44" s="50"/>
      <c r="J44" s="50"/>
    </row>
    <row r="45" spans="7:10" x14ac:dyDescent="0.25">
      <c r="G45" s="50"/>
      <c r="H45" s="216"/>
      <c r="I45" s="50"/>
      <c r="J45" s="50"/>
    </row>
    <row r="46" spans="7:10" x14ac:dyDescent="0.25">
      <c r="G46" s="50"/>
      <c r="H46" s="216"/>
      <c r="I46" s="50"/>
      <c r="J46" s="50"/>
    </row>
    <row r="47" spans="7:10" x14ac:dyDescent="0.25">
      <c r="G47" s="50"/>
      <c r="H47" s="216"/>
      <c r="I47" s="50"/>
      <c r="J47" s="50"/>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autoPageBreaks="0"/>
  </sheetPr>
  <dimension ref="B1:XEQ71"/>
  <sheetViews>
    <sheetView showGridLines="0" topLeftCell="A16" zoomScale="80" zoomScaleNormal="80" workbookViewId="0">
      <selection activeCell="I6" sqref="I6"/>
    </sheetView>
  </sheetViews>
  <sheetFormatPr defaultColWidth="8.7109375" defaultRowHeight="15" x14ac:dyDescent="0.25"/>
  <cols>
    <col min="1" max="1" width="1.42578125" style="285" customWidth="1"/>
    <col min="2" max="2" width="47.85546875" style="285" bestFit="1" customWidth="1"/>
    <col min="3" max="3" width="13.5703125" style="285" bestFit="1" customWidth="1"/>
    <col min="4" max="10" width="11.42578125" style="285" customWidth="1"/>
    <col min="11" max="11" width="13" style="285" bestFit="1" customWidth="1"/>
    <col min="12" max="16" width="10.7109375" style="285" bestFit="1" customWidth="1"/>
    <col min="17" max="16384" width="8.7109375" style="285"/>
  </cols>
  <sheetData>
    <row r="1" spans="2:16" ht="21" x14ac:dyDescent="0.35">
      <c r="B1" s="297" t="s">
        <v>345</v>
      </c>
    </row>
    <row r="2" spans="2:16" x14ac:dyDescent="0.25">
      <c r="B2" s="340" t="s">
        <v>346</v>
      </c>
    </row>
    <row r="4" spans="2:16" x14ac:dyDescent="0.25">
      <c r="B4" s="314" t="s">
        <v>320</v>
      </c>
      <c r="C4" s="315"/>
      <c r="D4" s="315"/>
      <c r="E4" s="315"/>
      <c r="F4" s="315"/>
      <c r="G4" s="315"/>
      <c r="H4" s="315"/>
      <c r="I4" s="315"/>
      <c r="J4" s="315"/>
      <c r="K4" s="316"/>
    </row>
    <row r="5" spans="2:16" x14ac:dyDescent="0.25">
      <c r="B5" s="317"/>
      <c r="C5" s="318" t="s">
        <v>1</v>
      </c>
      <c r="D5" s="318" t="s">
        <v>309</v>
      </c>
      <c r="E5" s="318" t="s">
        <v>372</v>
      </c>
      <c r="F5" s="318" t="s">
        <v>401</v>
      </c>
      <c r="G5" s="318" t="s">
        <v>33</v>
      </c>
      <c r="H5" s="318" t="s">
        <v>34</v>
      </c>
      <c r="I5" s="318" t="s">
        <v>35</v>
      </c>
      <c r="J5" s="318" t="s">
        <v>36</v>
      </c>
      <c r="K5" s="319" t="s">
        <v>393</v>
      </c>
    </row>
    <row r="6" spans="2:16" x14ac:dyDescent="0.25">
      <c r="B6" s="304" t="s">
        <v>26</v>
      </c>
      <c r="C6" s="305" t="s">
        <v>308</v>
      </c>
      <c r="D6" s="413">
        <v>14.62</v>
      </c>
      <c r="E6" s="414">
        <f>-'2. Input'!D21/('2. Input'!D39+'2. Input'!D44)</f>
        <v>23.540171117960362</v>
      </c>
      <c r="F6" s="414">
        <f>-'2. Input'!E21/('2. Input'!E39+'2. Input'!E44)</f>
        <v>27.16201185441076</v>
      </c>
      <c r="G6" s="414">
        <f>-'2. Input'!F21/('2. Input'!F39+'2. Input'!F44)</f>
        <v>37.128468255297641</v>
      </c>
      <c r="H6" s="414">
        <f>-'2. Input'!G21/('2. Input'!G39+'2. Input'!G44)</f>
        <v>21.508190090208796</v>
      </c>
      <c r="I6" s="414">
        <f>-'2. Input'!H21/('2. Input'!H39+'2. Input'!H44)</f>
        <v>21.432105911209167</v>
      </c>
      <c r="J6" s="414">
        <f>-'2. Input'!I21/('2. Input'!I39+'2. Input'!I44)</f>
        <v>21.440923392210063</v>
      </c>
      <c r="K6" s="415">
        <f>-'2. Input'!J21/('2. Input'!J39+'2. Input'!J44)</f>
        <v>21.936785754373382</v>
      </c>
      <c r="L6" s="385"/>
      <c r="M6" s="385"/>
      <c r="N6" s="385"/>
      <c r="O6" s="385"/>
      <c r="P6" s="385"/>
    </row>
    <row r="7" spans="2:16" x14ac:dyDescent="0.25">
      <c r="B7" s="304" t="s">
        <v>8</v>
      </c>
      <c r="C7" s="305" t="s">
        <v>308</v>
      </c>
      <c r="D7" s="413">
        <v>14.62</v>
      </c>
      <c r="E7" s="414">
        <f>-'2. Input'!D21/('2. Input'!D39+'2. Input'!D44)</f>
        <v>23.540171117960362</v>
      </c>
      <c r="F7" s="414">
        <f>-'2. Input'!E21/('2. Input'!E39+'2. Input'!E44)</f>
        <v>27.16201185441076</v>
      </c>
      <c r="G7" s="414">
        <f>-'2. Input'!F21/('2. Input'!F39+'2. Input'!F44)</f>
        <v>37.128468255297641</v>
      </c>
      <c r="H7" s="414">
        <f>-'2. Input'!G21/('2. Input'!G39+'2. Input'!G44)</f>
        <v>21.508190090208796</v>
      </c>
      <c r="I7" s="414">
        <f>-'2. Input'!H21/('2. Input'!H39+'2. Input'!H44)</f>
        <v>21.432105911209167</v>
      </c>
      <c r="J7" s="414">
        <f>-'2. Input'!I21/('2. Input'!I39+'2. Input'!I44)</f>
        <v>21.440923392210063</v>
      </c>
      <c r="K7" s="415">
        <f>-'2. Input'!J21/('2. Input'!J39+'2. Input'!J44)</f>
        <v>21.936785754373382</v>
      </c>
      <c r="L7" s="385"/>
      <c r="M7" s="385"/>
      <c r="N7" s="385"/>
      <c r="O7" s="385"/>
      <c r="P7" s="385"/>
    </row>
    <row r="8" spans="2:16" x14ac:dyDescent="0.25">
      <c r="B8" s="306" t="s">
        <v>312</v>
      </c>
      <c r="C8" s="307" t="s">
        <v>38</v>
      </c>
      <c r="D8" s="416">
        <v>4.5999999999999999E-3</v>
      </c>
      <c r="E8" s="417">
        <f>-'2. Input'!D22/'2. Input'!D31</f>
        <v>2.4084057490676132E-3</v>
      </c>
      <c r="F8" s="417">
        <f>-'2. Input'!E22/'2. Input'!E31</f>
        <v>2.9088563772317467E-3</v>
      </c>
      <c r="G8" s="417">
        <f>-'2. Input'!F22/'2. Input'!F31</f>
        <v>3.9831835767893354E-3</v>
      </c>
      <c r="H8" s="417">
        <f>-'2. Input'!G22/'2. Input'!G31</f>
        <v>2.4225209216734581E-3</v>
      </c>
      <c r="I8" s="417">
        <f>-'2. Input'!H22/'2. Input'!H31</f>
        <v>2.4077576764667827E-3</v>
      </c>
      <c r="J8" s="417">
        <f>-'2. Input'!I22/'2. Input'!I31</f>
        <v>2.307385795910338E-3</v>
      </c>
      <c r="K8" s="418">
        <f>-'2. Input'!J22/'2. Input'!J31</f>
        <v>2.3012443904443232E-3</v>
      </c>
      <c r="L8" s="386"/>
      <c r="M8" s="386"/>
      <c r="N8" s="386"/>
      <c r="O8" s="386"/>
      <c r="P8" s="386"/>
    </row>
    <row r="9" spans="2:16" x14ac:dyDescent="0.25">
      <c r="B9" s="341" t="s">
        <v>321</v>
      </c>
    </row>
    <row r="10" spans="2:16" x14ac:dyDescent="0.25">
      <c r="B10" s="285" t="s">
        <v>403</v>
      </c>
    </row>
    <row r="35" spans="2:21" x14ac:dyDescent="0.25">
      <c r="B35" s="314" t="s">
        <v>322</v>
      </c>
      <c r="C35" s="315"/>
      <c r="D35" s="315"/>
      <c r="E35" s="315"/>
      <c r="F35" s="315"/>
      <c r="G35" s="315"/>
      <c r="H35" s="315"/>
      <c r="I35" s="315"/>
      <c r="J35" s="315"/>
      <c r="K35" s="316"/>
    </row>
    <row r="36" spans="2:21" x14ac:dyDescent="0.25">
      <c r="B36" s="317"/>
      <c r="C36" s="318" t="s">
        <v>1</v>
      </c>
      <c r="D36" s="318" t="s">
        <v>309</v>
      </c>
      <c r="E36" s="318" t="s">
        <v>372</v>
      </c>
      <c r="F36" s="318" t="s">
        <v>401</v>
      </c>
      <c r="G36" s="318" t="s">
        <v>33</v>
      </c>
      <c r="H36" s="318" t="s">
        <v>34</v>
      </c>
      <c r="I36" s="318" t="s">
        <v>35</v>
      </c>
      <c r="J36" s="318" t="s">
        <v>36</v>
      </c>
      <c r="K36" s="319" t="s">
        <v>393</v>
      </c>
    </row>
    <row r="37" spans="2:21" x14ac:dyDescent="0.25">
      <c r="B37" s="304" t="s">
        <v>323</v>
      </c>
      <c r="C37" s="305" t="s">
        <v>310</v>
      </c>
      <c r="D37" s="342">
        <f>0.00893*1000</f>
        <v>8.93</v>
      </c>
      <c r="E37" s="342">
        <f>-'2. Input'!D8/'2. Input'!D31*'Input (raw)'!$D$58*1000</f>
        <v>10.594642681533454</v>
      </c>
      <c r="F37" s="342">
        <f>-'2. Input'!E11/'2. Input'!E31*'Input (raw)'!$D$58*1000</f>
        <v>9.6961879241058195</v>
      </c>
      <c r="G37" s="342">
        <f>-'2. Input'!F11/'2. Input'!F31*'Input (raw)'!$D$58*1000</f>
        <v>13.277278589297781</v>
      </c>
      <c r="H37" s="342">
        <f>-'2. Input'!G11/'2. Input'!G31*'Input (raw)'!$D$58*1000</f>
        <v>8.0750697389115267</v>
      </c>
      <c r="I37" s="342">
        <f>-'2. Input'!H11/'2. Input'!H31*'Input (raw)'!$D$58*1000</f>
        <v>8.0258589215559404</v>
      </c>
      <c r="J37" s="342">
        <f>-'2. Input'!I11/'2. Input'!I31*'Input (raw)'!$D$58*1000</f>
        <v>7.6912859863677925</v>
      </c>
      <c r="K37" s="439">
        <f>-'2. Input'!J11/'2. Input'!J31*'Input (raw)'!$D$58*1000</f>
        <v>7.6708146348144091</v>
      </c>
    </row>
    <row r="38" spans="2:21" x14ac:dyDescent="0.25">
      <c r="B38" s="306" t="s">
        <v>324</v>
      </c>
      <c r="C38" s="307" t="s">
        <v>310</v>
      </c>
      <c r="D38" s="343">
        <v>11.55</v>
      </c>
      <c r="E38" s="343">
        <v>12.88</v>
      </c>
      <c r="F38" s="343">
        <v>13.25</v>
      </c>
      <c r="G38" s="343">
        <v>12.24</v>
      </c>
      <c r="H38" s="343">
        <v>8.27</v>
      </c>
      <c r="I38" s="343">
        <v>7.09</v>
      </c>
      <c r="J38" s="343">
        <v>7.16</v>
      </c>
      <c r="K38" s="344">
        <v>7.29</v>
      </c>
    </row>
    <row r="39" spans="2:21" x14ac:dyDescent="0.25">
      <c r="B39" s="345" t="s">
        <v>325</v>
      </c>
    </row>
    <row r="40" spans="2:21" x14ac:dyDescent="0.25">
      <c r="B40" s="345" t="s">
        <v>404</v>
      </c>
    </row>
    <row r="47" spans="2:21" x14ac:dyDescent="0.25">
      <c r="U47" s="285" t="s">
        <v>397</v>
      </c>
    </row>
    <row r="65" spans="2:2 16371:16371" x14ac:dyDescent="0.25">
      <c r="B65" s="419" t="s">
        <v>347</v>
      </c>
    </row>
    <row r="71" spans="2:2 16371:16371" x14ac:dyDescent="0.25">
      <c r="XEQ71" s="346"/>
    </row>
  </sheetData>
  <sheetProtection algorithmName="SHA-512" hashValue="PcyPA365jBT/4PGPquWoWPN/tMSXsycMY+3cSgkB18LcLgrtQpmDLAdSzp9tg7pgGYU9Zw9gHErlVvmdiiFhdg==" saltValue="UIA7xBLZH4JBljg9Y5MZJg==" spinCount="100000" sheet="1" objects="1" scenarios="1"/>
  <hyperlinks>
    <hyperlink ref="B65" r:id="rId1" xr:uid="{00000000-0004-0000-0300-000000000000}"/>
  </hyperlinks>
  <pageMargins left="0.7" right="0.7" top="0.75" bottom="0.75" header="0.3" footer="0.3"/>
  <pageSetup paperSize="9"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autoPageBreaks="0"/>
  </sheetPr>
  <dimension ref="A1:J35"/>
  <sheetViews>
    <sheetView showGridLines="0" topLeftCell="A6" workbookViewId="0">
      <selection activeCell="C6" sqref="C6"/>
    </sheetView>
  </sheetViews>
  <sheetFormatPr defaultColWidth="8.7109375" defaultRowHeight="15" x14ac:dyDescent="0.25"/>
  <cols>
    <col min="1" max="1" width="1.42578125" style="285" customWidth="1"/>
    <col min="2" max="2" width="39.85546875" style="285" customWidth="1"/>
    <col min="3" max="3" width="14.5703125" style="285" customWidth="1"/>
    <col min="4" max="4" width="12.85546875" style="285" customWidth="1"/>
    <col min="5" max="6" width="13.140625" style="285" bestFit="1" customWidth="1"/>
    <col min="7" max="10" width="11.42578125" style="285" bestFit="1" customWidth="1"/>
    <col min="11" max="16384" width="8.7109375" style="285"/>
  </cols>
  <sheetData>
    <row r="1" spans="1:10" ht="21" x14ac:dyDescent="0.35">
      <c r="B1" s="297" t="s">
        <v>348</v>
      </c>
    </row>
    <row r="2" spans="1:10" x14ac:dyDescent="0.25">
      <c r="B2" s="340" t="s">
        <v>400</v>
      </c>
    </row>
    <row r="4" spans="1:10" x14ac:dyDescent="0.25">
      <c r="B4" s="347" t="s">
        <v>326</v>
      </c>
    </row>
    <row r="5" spans="1:10" x14ac:dyDescent="0.25">
      <c r="B5" s="348" t="s">
        <v>47</v>
      </c>
      <c r="C5" s="349">
        <v>0</v>
      </c>
      <c r="D5" s="350" t="s">
        <v>328</v>
      </c>
    </row>
    <row r="6" spans="1:10" x14ac:dyDescent="0.25">
      <c r="B6" s="351" t="s">
        <v>50</v>
      </c>
      <c r="C6" s="359">
        <v>0.5</v>
      </c>
    </row>
    <row r="7" spans="1:10" x14ac:dyDescent="0.25">
      <c r="B7" s="351" t="s">
        <v>311</v>
      </c>
      <c r="C7" s="360">
        <v>40000000</v>
      </c>
    </row>
    <row r="8" spans="1:10" x14ac:dyDescent="0.25">
      <c r="B8" s="351" t="s">
        <v>48</v>
      </c>
      <c r="C8" s="327">
        <f>IFERROR($C$7/C5/24/365,0)</f>
        <v>0</v>
      </c>
    </row>
    <row r="9" spans="1:10" x14ac:dyDescent="0.25">
      <c r="B9" s="352" t="s">
        <v>49</v>
      </c>
      <c r="C9" s="329">
        <f>IFERROR($C$7/C6/24/365,0)</f>
        <v>9132.4200913242021</v>
      </c>
    </row>
    <row r="10" spans="1:10" x14ac:dyDescent="0.25">
      <c r="A10" s="305"/>
      <c r="B10" s="353" t="s">
        <v>330</v>
      </c>
      <c r="C10" s="326"/>
    </row>
    <row r="11" spans="1:10" x14ac:dyDescent="0.25">
      <c r="B11" s="314" t="s">
        <v>53</v>
      </c>
      <c r="C11" s="315"/>
      <c r="D11" s="315"/>
      <c r="E11" s="315"/>
      <c r="F11" s="315"/>
      <c r="G11" s="315"/>
      <c r="H11" s="315"/>
      <c r="I11" s="315"/>
      <c r="J11" s="316"/>
    </row>
    <row r="12" spans="1:10" x14ac:dyDescent="0.25">
      <c r="B12" s="317"/>
      <c r="C12" s="318" t="s">
        <v>1</v>
      </c>
      <c r="D12" s="318" t="s">
        <v>31</v>
      </c>
      <c r="E12" s="318" t="s">
        <v>32</v>
      </c>
      <c r="F12" s="318" t="s">
        <v>33</v>
      </c>
      <c r="G12" s="318" t="s">
        <v>34</v>
      </c>
      <c r="H12" s="318" t="s">
        <v>35</v>
      </c>
      <c r="I12" s="318" t="s">
        <v>36</v>
      </c>
      <c r="J12" s="319" t="s">
        <v>393</v>
      </c>
    </row>
    <row r="13" spans="1:10" x14ac:dyDescent="0.25">
      <c r="B13" s="304" t="s">
        <v>329</v>
      </c>
      <c r="C13" s="305" t="s">
        <v>41</v>
      </c>
      <c r="D13" s="326">
        <f>$C$7*'3. Charts'!E8+$C$8*'3. Charts'!E6+$C$9*'3. Charts'!E7</f>
        <v>311314.96163357544</v>
      </c>
      <c r="E13" s="326">
        <f>$C$7*'3. Charts'!F8+$C$8*'3. Charts'!F6+$C$9*'3. Charts'!F7</f>
        <v>364409.15786927682</v>
      </c>
      <c r="F13" s="326">
        <f>$C$7*'3. Charts'!G8+$C$8*'3. Charts'!G6+$C$9*'3. Charts'!G7</f>
        <v>498400.11252634641</v>
      </c>
      <c r="G13" s="326">
        <f>$C$7*'3. Charts'!H8+$C$8*'3. Charts'!H6+$C$9*'3. Charts'!H7</f>
        <v>293322.66417478124</v>
      </c>
      <c r="H13" s="326">
        <f>$C$7*'3. Charts'!I8+$C$8*'3. Charts'!I6+$C$9*'3. Charts'!I7</f>
        <v>292037.30168158608</v>
      </c>
      <c r="I13" s="326">
        <f>$C$7*'3. Charts'!J8+$C$8*'3. Charts'!J6+$C$9*'3. Charts'!J7</f>
        <v>288102.95139997575</v>
      </c>
      <c r="J13" s="327">
        <f>$C$7*'3. Charts'!K8+$C$8*'3. Charts'!K6+$C$9*'3. Charts'!K7</f>
        <v>292385.71858008695</v>
      </c>
    </row>
    <row r="14" spans="1:10" x14ac:dyDescent="0.25">
      <c r="B14" s="354" t="s">
        <v>26</v>
      </c>
      <c r="C14" s="305" t="s">
        <v>41</v>
      </c>
      <c r="D14" s="326">
        <f>$C$8*'3. Charts'!E6</f>
        <v>0</v>
      </c>
      <c r="E14" s="326">
        <f>$C$8*'3. Charts'!F6</f>
        <v>0</v>
      </c>
      <c r="F14" s="326">
        <f>$C$8*'3. Charts'!G6</f>
        <v>0</v>
      </c>
      <c r="G14" s="326">
        <f>$C$8*'3. Charts'!H6</f>
        <v>0</v>
      </c>
      <c r="H14" s="326">
        <f>$C$8*'3. Charts'!I6</f>
        <v>0</v>
      </c>
      <c r="I14" s="326">
        <f>$C$8*'3. Charts'!J6</f>
        <v>0</v>
      </c>
      <c r="J14" s="327">
        <f>$C$8*'3. Charts'!K6</f>
        <v>0</v>
      </c>
    </row>
    <row r="15" spans="1:10" x14ac:dyDescent="0.25">
      <c r="B15" s="354" t="s">
        <v>8</v>
      </c>
      <c r="C15" s="305" t="s">
        <v>41</v>
      </c>
      <c r="D15" s="326">
        <f>$C$9*'3. Charts'!E7</f>
        <v>214978.73167087091</v>
      </c>
      <c r="E15" s="326">
        <f>$C$9*'3. Charts'!F7</f>
        <v>248054.90278000699</v>
      </c>
      <c r="F15" s="326">
        <f>$C$9*'3. Charts'!G7</f>
        <v>339072.76945477299</v>
      </c>
      <c r="G15" s="326">
        <f>$C$9*'3. Charts'!H7</f>
        <v>196421.8273078429</v>
      </c>
      <c r="H15" s="326">
        <f>$C$9*'3. Charts'!I7</f>
        <v>195726.99462291479</v>
      </c>
      <c r="I15" s="326">
        <f>$C$9*'3. Charts'!J7</f>
        <v>195807.51956356224</v>
      </c>
      <c r="J15" s="327">
        <f>$C$9*'3. Charts'!K7</f>
        <v>200335.942962314</v>
      </c>
    </row>
    <row r="16" spans="1:10" x14ac:dyDescent="0.25">
      <c r="B16" s="354" t="s">
        <v>312</v>
      </c>
      <c r="C16" s="305" t="s">
        <v>41</v>
      </c>
      <c r="D16" s="326">
        <f>$C$7*'3. Charts'!E8</f>
        <v>96336.229962704529</v>
      </c>
      <c r="E16" s="326">
        <f>$C$7*'3. Charts'!F8</f>
        <v>116354.25508926986</v>
      </c>
      <c r="F16" s="326">
        <f>$C$7*'3. Charts'!G8</f>
        <v>159327.34307157341</v>
      </c>
      <c r="G16" s="326">
        <f>$C$7*'3. Charts'!H8</f>
        <v>96900.83686693832</v>
      </c>
      <c r="H16" s="326">
        <f>$C$7*'3. Charts'!I8</f>
        <v>96310.307058671315</v>
      </c>
      <c r="I16" s="326">
        <f>$C$7*'3. Charts'!J8</f>
        <v>92295.431836413525</v>
      </c>
      <c r="J16" s="327">
        <f>$C$7*'3. Charts'!K8</f>
        <v>92049.775617772932</v>
      </c>
    </row>
    <row r="17" spans="1:10" x14ac:dyDescent="0.25">
      <c r="B17" s="304" t="s">
        <v>45</v>
      </c>
      <c r="C17" s="305" t="s">
        <v>42</v>
      </c>
      <c r="D17" s="326">
        <f>D13/'Input (raw)'!$D$58</f>
        <v>41849.033691837001</v>
      </c>
      <c r="E17" s="326">
        <f>E13/'Input (raw)'!$D$58</f>
        <v>48986.309701475577</v>
      </c>
      <c r="F17" s="326">
        <f>F13/'Input (raw)'!$D$58</f>
        <v>66998.267579828796</v>
      </c>
      <c r="G17" s="326">
        <f>G13/'Input (raw)'!$D$58</f>
        <v>39430.389054278967</v>
      </c>
      <c r="H17" s="326">
        <f>H13/'Input (raw)'!$D$58</f>
        <v>39257.602054252733</v>
      </c>
      <c r="I17" s="326">
        <f>I13/'Input (raw)'!$D$58</f>
        <v>38728.720446293286</v>
      </c>
      <c r="J17" s="327">
        <f>J13/'Input (raw)'!$D$58</f>
        <v>39304.438577777517</v>
      </c>
    </row>
    <row r="18" spans="1:10" x14ac:dyDescent="0.25">
      <c r="B18" s="306" t="s">
        <v>51</v>
      </c>
      <c r="C18" s="307" t="s">
        <v>2</v>
      </c>
      <c r="D18" s="355" t="s">
        <v>46</v>
      </c>
      <c r="E18" s="356">
        <f t="shared" ref="E18:J18" si="0">(E13-D13)/D13</f>
        <v>0.17054816754420696</v>
      </c>
      <c r="F18" s="356">
        <f t="shared" si="0"/>
        <v>0.36769370846913696</v>
      </c>
      <c r="G18" s="356">
        <f t="shared" si="0"/>
        <v>-0.41147151294177198</v>
      </c>
      <c r="H18" s="356">
        <f t="shared" si="0"/>
        <v>-4.3820769759177515E-3</v>
      </c>
      <c r="I18" s="356">
        <f t="shared" si="0"/>
        <v>-1.3472081336719193E-2</v>
      </c>
      <c r="J18" s="357">
        <f t="shared" si="0"/>
        <v>1.4865405436841219E-2</v>
      </c>
    </row>
    <row r="21" spans="1:10" x14ac:dyDescent="0.25">
      <c r="B21" s="347" t="s">
        <v>327</v>
      </c>
    </row>
    <row r="22" spans="1:10" x14ac:dyDescent="0.25">
      <c r="B22" s="348" t="s">
        <v>47</v>
      </c>
      <c r="C22" s="361">
        <v>0.82</v>
      </c>
    </row>
    <row r="23" spans="1:10" x14ac:dyDescent="0.25">
      <c r="B23" s="351" t="s">
        <v>50</v>
      </c>
      <c r="C23" s="359">
        <v>0.79</v>
      </c>
    </row>
    <row r="24" spans="1:10" x14ac:dyDescent="0.25">
      <c r="B24" s="351" t="s">
        <v>311</v>
      </c>
      <c r="C24" s="360">
        <v>40000000</v>
      </c>
    </row>
    <row r="25" spans="1:10" x14ac:dyDescent="0.25">
      <c r="B25" s="351" t="s">
        <v>48</v>
      </c>
      <c r="C25" s="327">
        <f>IFERROR($C$24/C22/24/365,0)</f>
        <v>5568.5488361732932</v>
      </c>
    </row>
    <row r="26" spans="1:10" x14ac:dyDescent="0.25">
      <c r="B26" s="352" t="s">
        <v>49</v>
      </c>
      <c r="C26" s="329">
        <f>IFERROR($C$24/C23/24/365,0)</f>
        <v>5780.0127160279753</v>
      </c>
    </row>
    <row r="27" spans="1:10" x14ac:dyDescent="0.25">
      <c r="A27" s="305"/>
      <c r="B27" s="358"/>
      <c r="C27" s="326"/>
    </row>
    <row r="28" spans="1:10" x14ac:dyDescent="0.25">
      <c r="B28" s="314" t="s">
        <v>52</v>
      </c>
      <c r="C28" s="315"/>
      <c r="D28" s="315"/>
      <c r="E28" s="315"/>
      <c r="F28" s="315"/>
      <c r="G28" s="315"/>
      <c r="H28" s="315"/>
      <c r="I28" s="315"/>
      <c r="J28" s="316"/>
    </row>
    <row r="29" spans="1:10" x14ac:dyDescent="0.25">
      <c r="B29" s="317"/>
      <c r="C29" s="318" t="s">
        <v>1</v>
      </c>
      <c r="D29" s="318" t="s">
        <v>31</v>
      </c>
      <c r="E29" s="318" t="s">
        <v>32</v>
      </c>
      <c r="F29" s="318" t="s">
        <v>33</v>
      </c>
      <c r="G29" s="318" t="s">
        <v>34</v>
      </c>
      <c r="H29" s="318" t="s">
        <v>35</v>
      </c>
      <c r="I29" s="318" t="s">
        <v>36</v>
      </c>
      <c r="J29" s="319" t="s">
        <v>393</v>
      </c>
    </row>
    <row r="30" spans="1:10" x14ac:dyDescent="0.25">
      <c r="B30" s="304" t="s">
        <v>329</v>
      </c>
      <c r="C30" s="305" t="s">
        <v>41</v>
      </c>
      <c r="D30" s="326">
        <f>$C$24*'3. Charts'!E7+$C$25*'3. Charts'!E8+$C$26*'3. Charts'!E6</f>
        <v>941742920.61813879</v>
      </c>
      <c r="E30" s="326">
        <f>$C$24*'3. Charts'!F7+$C$25*'3. Charts'!F8+$C$26*'3. Charts'!F6</f>
        <v>1086637487.1484509</v>
      </c>
      <c r="F30" s="326">
        <f>$C$24*'3. Charts'!G7+$C$25*'3. Charts'!G8+$C$26*'3. Charts'!G6</f>
        <v>1485353355.4111001</v>
      </c>
      <c r="G30" s="326">
        <f>$C$24*'3. Charts'!H7+$C$25*'3. Charts'!H8+$C$26*'3. Charts'!H6</f>
        <v>860451934.71049809</v>
      </c>
      <c r="H30" s="326">
        <f>$C$24*'3. Charts'!I7+$C$25*'3. Charts'!I8+$C$26*'3. Charts'!I6</f>
        <v>857408127.70078087</v>
      </c>
      <c r="I30" s="326">
        <f>$C$24*'3. Charts'!J7+$C$25*'3. Charts'!J8+$C$26*'3. Charts'!J6</f>
        <v>857760877.3470434</v>
      </c>
      <c r="J30" s="327">
        <f>$C$24*'3. Charts'!K7+$C$25*'3. Charts'!K8+$C$26*'3. Charts'!K6</f>
        <v>877598237.890136</v>
      </c>
    </row>
    <row r="31" spans="1:10" x14ac:dyDescent="0.25">
      <c r="B31" s="354" t="s">
        <v>26</v>
      </c>
      <c r="C31" s="305" t="s">
        <v>41</v>
      </c>
      <c r="D31" s="326">
        <f>$C$25*'3. Charts'!E6</f>
        <v>131084.59248223834</v>
      </c>
      <c r="E31" s="326">
        <f>$C$25*'3. Charts'!F6</f>
        <v>151252.98950000425</v>
      </c>
      <c r="F31" s="326">
        <f>$C$25*'3. Charts'!G6</f>
        <v>206751.68869193475</v>
      </c>
      <c r="G31" s="326">
        <f>$C$25*'3. Charts'!H6</f>
        <v>119769.40689502614</v>
      </c>
      <c r="H31" s="326">
        <f>$C$25*'3. Charts'!I6</f>
        <v>119345.72842860657</v>
      </c>
      <c r="I31" s="326">
        <f>$C$25*'3. Charts'!J6</f>
        <v>119394.82900217209</v>
      </c>
      <c r="J31" s="327">
        <f>$C$25*'3. Charts'!K6</f>
        <v>122156.06278189877</v>
      </c>
    </row>
    <row r="32" spans="1:10" x14ac:dyDescent="0.25">
      <c r="B32" s="354" t="s">
        <v>8</v>
      </c>
      <c r="C32" s="305" t="s">
        <v>41</v>
      </c>
      <c r="D32" s="326">
        <f>$C$26*'3. Charts'!E7</f>
        <v>136062.48839928539</v>
      </c>
      <c r="E32" s="326">
        <f>$C$26*'3. Charts'!F7</f>
        <v>156996.7739113968</v>
      </c>
      <c r="F32" s="326">
        <f>$C$26*'3. Charts'!G7</f>
        <v>214603.01864226139</v>
      </c>
      <c r="G32" s="326">
        <f>$C$26*'3. Charts'!H7</f>
        <v>124317.61222015372</v>
      </c>
      <c r="H32" s="326">
        <f>$C$26*'3. Charts'!I7</f>
        <v>123877.84469804732</v>
      </c>
      <c r="I32" s="326">
        <f>$C$26*'3. Charts'!J7</f>
        <v>123928.80985035584</v>
      </c>
      <c r="J32" s="327">
        <f>$C$26*'3. Charts'!K7</f>
        <v>126794.90060905949</v>
      </c>
    </row>
    <row r="33" spans="2:10" x14ac:dyDescent="0.25">
      <c r="B33" s="354" t="s">
        <v>312</v>
      </c>
      <c r="C33" s="305" t="s">
        <v>41</v>
      </c>
      <c r="D33" s="326">
        <f>$C$24*'3. Charts'!E8</f>
        <v>96336.229962704529</v>
      </c>
      <c r="E33" s="326">
        <f>$C$24*'3. Charts'!F8</f>
        <v>116354.25508926986</v>
      </c>
      <c r="F33" s="326">
        <f>$C$24*'3. Charts'!G8</f>
        <v>159327.34307157341</v>
      </c>
      <c r="G33" s="326">
        <f>$C$24*'3. Charts'!H8</f>
        <v>96900.83686693832</v>
      </c>
      <c r="H33" s="326">
        <f>$C$24*'3. Charts'!I8</f>
        <v>96310.307058671315</v>
      </c>
      <c r="I33" s="326">
        <f>$C$24*'3. Charts'!J8</f>
        <v>92295.431836413525</v>
      </c>
      <c r="J33" s="327">
        <f>$C$24*'3. Charts'!K8</f>
        <v>92049.775617772932</v>
      </c>
    </row>
    <row r="34" spans="2:10" x14ac:dyDescent="0.25">
      <c r="B34" s="304" t="s">
        <v>45</v>
      </c>
      <c r="C34" s="305" t="s">
        <v>42</v>
      </c>
      <c r="D34" s="326">
        <f>D30/'Input (raw)'!$D$58</f>
        <v>126595365.05150408</v>
      </c>
      <c r="E34" s="326">
        <f>E30/'Input (raw)'!$D$58</f>
        <v>146073059.16769066</v>
      </c>
      <c r="F34" s="326">
        <f>F30/'Input (raw)'!$D$58</f>
        <v>199671105.71462563</v>
      </c>
      <c r="G34" s="326">
        <f>G30/'Input (raw)'!$D$58</f>
        <v>115667688.49448825</v>
      </c>
      <c r="H34" s="326">
        <f>H30/'Input (raw)'!$D$58</f>
        <v>115258519.65328416</v>
      </c>
      <c r="I34" s="326">
        <f>I30/'Input (raw)'!$D$58</f>
        <v>115305938.61366358</v>
      </c>
      <c r="J34" s="327">
        <f>J30/'Input (raw)'!$D$58</f>
        <v>117972608.93804759</v>
      </c>
    </row>
    <row r="35" spans="2:10" x14ac:dyDescent="0.25">
      <c r="B35" s="306" t="s">
        <v>51</v>
      </c>
      <c r="C35" s="307" t="s">
        <v>2</v>
      </c>
      <c r="D35" s="355" t="s">
        <v>46</v>
      </c>
      <c r="E35" s="356">
        <f t="shared" ref="E35:J35" si="1">(E30-D30)/D30</f>
        <v>0.15385787708943599</v>
      </c>
      <c r="F35" s="356">
        <f t="shared" si="1"/>
        <v>0.36692629600784127</v>
      </c>
      <c r="G35" s="356">
        <f t="shared" si="1"/>
        <v>-0.42070892991496189</v>
      </c>
      <c r="H35" s="356">
        <f t="shared" si="1"/>
        <v>-3.5374515262625622E-3</v>
      </c>
      <c r="I35" s="356">
        <f t="shared" si="1"/>
        <v>4.1141392863682934E-4</v>
      </c>
      <c r="J35" s="357">
        <f t="shared" si="1"/>
        <v>2.3126912251404265E-2</v>
      </c>
    </row>
  </sheetData>
  <sheetProtection algorithmName="SHA-512" hashValue="kcT0h8922S8UXv4mGqUYjwyTsFTvyUPt0LtT1OGxABbdOK1C5GZXhqWxOITyHjdMn4O2g0fTV/Jlomid+YUgwA==" saltValue="UCtx8hUARKz2hkYx/EAZ7A==" spinCount="100000" sheet="1" selectLockedCell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B2:R84"/>
  <sheetViews>
    <sheetView showGridLines="0" topLeftCell="A34" workbookViewId="0">
      <selection activeCell="H18" sqref="H18"/>
    </sheetView>
  </sheetViews>
  <sheetFormatPr defaultRowHeight="15" x14ac:dyDescent="0.25"/>
  <cols>
    <col min="1" max="1" width="1.42578125" customWidth="1"/>
    <col min="2" max="2" width="46" bestFit="1" customWidth="1"/>
    <col min="3" max="3" width="9.140625" bestFit="1" customWidth="1"/>
    <col min="4" max="10" width="13.85546875" bestFit="1" customWidth="1"/>
    <col min="11" max="11" width="14.7109375" customWidth="1"/>
    <col min="12" max="18" width="17" bestFit="1" customWidth="1"/>
  </cols>
  <sheetData>
    <row r="2" spans="2:18" x14ac:dyDescent="0.25">
      <c r="B2" s="1" t="s">
        <v>3</v>
      </c>
      <c r="C2" s="2"/>
      <c r="D2" s="2"/>
      <c r="E2" s="2"/>
      <c r="F2" s="2"/>
      <c r="G2" s="2"/>
      <c r="H2" s="2"/>
      <c r="I2" s="2"/>
      <c r="J2" s="3"/>
      <c r="K2" s="3"/>
    </row>
    <row r="3" spans="2:18" x14ac:dyDescent="0.25">
      <c r="B3" s="4"/>
      <c r="C3" s="5" t="s">
        <v>1</v>
      </c>
      <c r="D3" s="5" t="s">
        <v>356</v>
      </c>
      <c r="E3" s="5" t="s">
        <v>357</v>
      </c>
      <c r="F3" s="5">
        <v>2021</v>
      </c>
      <c r="G3" s="5">
        <v>2022</v>
      </c>
      <c r="H3" s="5">
        <v>2023</v>
      </c>
      <c r="I3" s="5">
        <v>2024</v>
      </c>
      <c r="J3" s="6">
        <v>2025</v>
      </c>
      <c r="K3" s="6">
        <v>2026</v>
      </c>
    </row>
    <row r="4" spans="2:18" x14ac:dyDescent="0.25">
      <c r="B4" s="15" t="s">
        <v>4</v>
      </c>
      <c r="C4" s="16" t="s">
        <v>12</v>
      </c>
      <c r="D4" s="17">
        <f>SUM(D5:D8)</f>
        <v>59687662.329999998</v>
      </c>
      <c r="E4" s="17">
        <f t="shared" ref="E4:J4" si="0">SUM(E5:E8)</f>
        <v>45698000</v>
      </c>
      <c r="F4" s="17">
        <f t="shared" si="0"/>
        <v>42843700</v>
      </c>
      <c r="G4" s="17">
        <f t="shared" si="0"/>
        <v>142804616.31</v>
      </c>
      <c r="H4" s="17">
        <f t="shared" si="0"/>
        <v>149532316.01999998</v>
      </c>
      <c r="I4" s="17">
        <f t="shared" si="0"/>
        <v>141601174.07999998</v>
      </c>
      <c r="J4" s="18">
        <f t="shared" si="0"/>
        <v>142477174.07999998</v>
      </c>
      <c r="K4" s="18"/>
      <c r="L4" s="29"/>
      <c r="M4" s="29"/>
      <c r="N4" s="29"/>
      <c r="O4" s="29"/>
      <c r="P4" s="29"/>
      <c r="Q4" s="29"/>
      <c r="R4" s="29"/>
    </row>
    <row r="5" spans="2:18" x14ac:dyDescent="0.25">
      <c r="B5" s="23" t="s">
        <v>5</v>
      </c>
      <c r="C5" s="8" t="s">
        <v>12</v>
      </c>
      <c r="D5" s="398">
        <v>26743751.48</v>
      </c>
      <c r="E5" s="398">
        <v>2277600</v>
      </c>
      <c r="F5" s="398">
        <v>2365200</v>
      </c>
      <c r="G5" s="398">
        <v>10475500</v>
      </c>
      <c r="H5" s="398">
        <v>26061000</v>
      </c>
      <c r="I5" s="398">
        <v>29127000</v>
      </c>
      <c r="J5" s="405">
        <v>30003000</v>
      </c>
      <c r="K5" s="405"/>
      <c r="L5" s="28"/>
      <c r="M5" s="28"/>
      <c r="N5" s="28"/>
      <c r="O5" s="28"/>
      <c r="P5" s="28"/>
      <c r="Q5" s="28"/>
      <c r="R5" s="28"/>
    </row>
    <row r="6" spans="2:18" x14ac:dyDescent="0.25">
      <c r="B6" s="23" t="s">
        <v>6</v>
      </c>
      <c r="C6" s="8" t="s">
        <v>12</v>
      </c>
      <c r="D6" s="398">
        <v>29527510.850000001</v>
      </c>
      <c r="E6" s="398">
        <v>39566000</v>
      </c>
      <c r="F6" s="398">
        <v>35989000</v>
      </c>
      <c r="G6" s="398">
        <v>31155342.23</v>
      </c>
      <c r="H6" s="398">
        <v>21947141.940000001</v>
      </c>
      <c r="I6" s="398">
        <v>10950000</v>
      </c>
      <c r="J6" s="405">
        <v>10950000</v>
      </c>
      <c r="K6" s="405"/>
      <c r="L6" s="28"/>
      <c r="M6" s="28"/>
      <c r="N6" s="28"/>
      <c r="O6" s="28"/>
      <c r="P6" s="28"/>
      <c r="Q6" s="28"/>
      <c r="R6" s="28"/>
    </row>
    <row r="7" spans="2:18" x14ac:dyDescent="0.25">
      <c r="B7" s="23" t="s">
        <v>7</v>
      </c>
      <c r="C7" s="8" t="s">
        <v>12</v>
      </c>
      <c r="D7" s="398">
        <v>3416400.0000000005</v>
      </c>
      <c r="E7" s="398">
        <v>3854400</v>
      </c>
      <c r="F7" s="398">
        <v>4489499.9999999991</v>
      </c>
      <c r="G7" s="398">
        <v>4861800.0000000009</v>
      </c>
      <c r="H7" s="398">
        <v>5212200</v>
      </c>
      <c r="I7" s="398">
        <v>5212200</v>
      </c>
      <c r="J7" s="405">
        <v>5212200</v>
      </c>
      <c r="K7" s="405"/>
      <c r="L7" s="28"/>
      <c r="M7" s="28"/>
      <c r="N7" s="28"/>
      <c r="O7" s="28"/>
      <c r="P7" s="28"/>
      <c r="Q7" s="28"/>
      <c r="R7" s="28"/>
    </row>
    <row r="8" spans="2:18" x14ac:dyDescent="0.25">
      <c r="B8" s="23" t="s">
        <v>9</v>
      </c>
      <c r="C8" s="8" t="s">
        <v>12</v>
      </c>
      <c r="D8" s="41">
        <v>0</v>
      </c>
      <c r="E8" s="41">
        <v>0</v>
      </c>
      <c r="F8" s="41">
        <v>0</v>
      </c>
      <c r="G8" s="41">
        <v>96311974.079999998</v>
      </c>
      <c r="H8" s="41">
        <v>96311974.079999998</v>
      </c>
      <c r="I8" s="41">
        <v>96311974.079999998</v>
      </c>
      <c r="J8" s="42">
        <v>96311974.079999998</v>
      </c>
      <c r="K8" s="42"/>
    </row>
    <row r="9" spans="2:18" x14ac:dyDescent="0.25">
      <c r="B9" s="15" t="s">
        <v>8</v>
      </c>
      <c r="C9" s="16" t="s">
        <v>12</v>
      </c>
      <c r="D9" s="17">
        <f t="shared" ref="D9:J9" si="1">SUM(D10:D13)</f>
        <v>42361678.079999998</v>
      </c>
      <c r="E9" s="17">
        <f t="shared" si="1"/>
        <v>41026000</v>
      </c>
      <c r="F9" s="17">
        <f t="shared" si="1"/>
        <v>39274000</v>
      </c>
      <c r="G9" s="17">
        <f t="shared" si="1"/>
        <v>135585974.07999998</v>
      </c>
      <c r="H9" s="17">
        <f t="shared" si="1"/>
        <v>136388696.68000001</v>
      </c>
      <c r="I9" s="17">
        <f t="shared" si="1"/>
        <v>143469974.07999998</v>
      </c>
      <c r="J9" s="18">
        <f t="shared" si="1"/>
        <v>144382474.07999998</v>
      </c>
      <c r="K9" s="18"/>
    </row>
    <row r="10" spans="2:18" x14ac:dyDescent="0.25">
      <c r="B10" s="23" t="s">
        <v>10</v>
      </c>
      <c r="C10" s="8" t="s">
        <v>12</v>
      </c>
      <c r="D10" s="398">
        <v>29127000</v>
      </c>
      <c r="E10" s="398">
        <v>28543000</v>
      </c>
      <c r="F10" s="398">
        <v>26791000</v>
      </c>
      <c r="G10" s="398">
        <v>26791000</v>
      </c>
      <c r="H10" s="398">
        <v>26681500</v>
      </c>
      <c r="I10" s="398">
        <v>26681500</v>
      </c>
      <c r="J10" s="405">
        <v>25367500</v>
      </c>
      <c r="K10" s="405"/>
      <c r="L10" s="27"/>
      <c r="M10" s="27"/>
      <c r="N10" s="27"/>
      <c r="O10" s="27"/>
      <c r="P10" s="27"/>
      <c r="Q10" s="27"/>
      <c r="R10" s="27"/>
    </row>
    <row r="11" spans="2:18" x14ac:dyDescent="0.25">
      <c r="B11" s="23" t="s">
        <v>11</v>
      </c>
      <c r="C11" s="8" t="s">
        <v>12</v>
      </c>
      <c r="D11" s="398">
        <v>12483000</v>
      </c>
      <c r="E11" s="398">
        <v>12483000</v>
      </c>
      <c r="F11" s="398">
        <v>12483000</v>
      </c>
      <c r="G11" s="398">
        <v>12483000</v>
      </c>
      <c r="H11" s="398">
        <v>12118000</v>
      </c>
      <c r="I11" s="398">
        <v>12118000</v>
      </c>
      <c r="J11" s="405">
        <v>12118000</v>
      </c>
      <c r="K11" s="405"/>
      <c r="L11" s="27"/>
      <c r="M11" s="27"/>
      <c r="N11" s="27"/>
      <c r="O11" s="27"/>
      <c r="P11" s="27"/>
      <c r="Q11" s="27"/>
      <c r="R11" s="27"/>
    </row>
    <row r="12" spans="2:18" x14ac:dyDescent="0.25">
      <c r="B12" s="23" t="s">
        <v>6</v>
      </c>
      <c r="C12" s="8" t="s">
        <v>12</v>
      </c>
      <c r="D12" s="398">
        <v>751678.08</v>
      </c>
      <c r="E12" s="398">
        <v>0</v>
      </c>
      <c r="F12" s="398">
        <v>0</v>
      </c>
      <c r="G12" s="398">
        <v>0</v>
      </c>
      <c r="H12" s="398">
        <v>1277222.6000000001</v>
      </c>
      <c r="I12" s="398">
        <v>8358500</v>
      </c>
      <c r="J12" s="405">
        <v>10585000</v>
      </c>
      <c r="K12" s="405"/>
      <c r="L12" s="27"/>
      <c r="M12" s="27"/>
      <c r="N12" s="27"/>
      <c r="O12" s="27"/>
      <c r="P12" s="27"/>
      <c r="Q12" s="27"/>
      <c r="R12" s="27"/>
    </row>
    <row r="13" spans="2:18" x14ac:dyDescent="0.25">
      <c r="B13" s="24" t="s">
        <v>9</v>
      </c>
      <c r="C13" s="10" t="s">
        <v>12</v>
      </c>
      <c r="D13" s="43">
        <v>0</v>
      </c>
      <c r="E13" s="43">
        <v>0</v>
      </c>
      <c r="F13" s="43">
        <v>0</v>
      </c>
      <c r="G13" s="43">
        <v>96311974.079999998</v>
      </c>
      <c r="H13" s="43">
        <v>96311974.079999998</v>
      </c>
      <c r="I13" s="43">
        <v>96311974.079999998</v>
      </c>
      <c r="J13" s="44">
        <v>96311974.079999998</v>
      </c>
      <c r="K13" s="44"/>
    </row>
    <row r="14" spans="2:18" x14ac:dyDescent="0.25">
      <c r="B14" s="391" t="s">
        <v>358</v>
      </c>
    </row>
    <row r="15" spans="2:18" x14ac:dyDescent="0.25">
      <c r="B15" s="1" t="s">
        <v>312</v>
      </c>
      <c r="C15" s="2"/>
      <c r="D15" s="2"/>
      <c r="E15" s="2"/>
      <c r="F15" s="2"/>
      <c r="G15" s="2"/>
      <c r="H15" s="2"/>
      <c r="I15" s="2"/>
      <c r="J15" s="3"/>
      <c r="K15" s="3"/>
    </row>
    <row r="16" spans="2:18" x14ac:dyDescent="0.25">
      <c r="B16" s="4"/>
      <c r="C16" s="5" t="s">
        <v>1</v>
      </c>
      <c r="D16" s="5" t="s">
        <v>356</v>
      </c>
      <c r="E16" s="5" t="s">
        <v>357</v>
      </c>
      <c r="F16" s="5">
        <v>2021</v>
      </c>
      <c r="G16" s="5">
        <v>2022</v>
      </c>
      <c r="H16" s="5">
        <v>2023</v>
      </c>
      <c r="I16" s="5">
        <v>2024</v>
      </c>
      <c r="J16" s="6">
        <v>2025</v>
      </c>
      <c r="K16" s="6">
        <v>2026</v>
      </c>
    </row>
    <row r="17" spans="2:15" x14ac:dyDescent="0.25">
      <c r="B17" s="15" t="s">
        <v>26</v>
      </c>
      <c r="C17" s="16" t="s">
        <v>12</v>
      </c>
      <c r="D17" s="17">
        <f t="shared" ref="D17:J17" si="2">SUM(D18:D21)</f>
        <v>38291040.218122005</v>
      </c>
      <c r="E17" s="17">
        <f t="shared" si="2"/>
        <v>37577958.826501258</v>
      </c>
      <c r="F17" s="17">
        <f t="shared" si="2"/>
        <v>36394554.212553158</v>
      </c>
      <c r="G17" s="17">
        <f t="shared" si="2"/>
        <v>120252309.6139871</v>
      </c>
      <c r="H17" s="17">
        <f t="shared" si="2"/>
        <v>122585811.46199583</v>
      </c>
      <c r="I17" s="17">
        <f t="shared" si="2"/>
        <v>128618440.62048241</v>
      </c>
      <c r="J17" s="18">
        <f t="shared" si="2"/>
        <v>130403651.37920207</v>
      </c>
      <c r="K17" s="18"/>
    </row>
    <row r="18" spans="2:15" x14ac:dyDescent="0.25">
      <c r="B18" s="7" t="s">
        <v>5</v>
      </c>
      <c r="C18" s="8" t="s">
        <v>12</v>
      </c>
      <c r="D18" s="398">
        <v>24948596.607006595</v>
      </c>
      <c r="E18" s="398">
        <v>2208250</v>
      </c>
      <c r="F18" s="398">
        <v>2208249.9999999995</v>
      </c>
      <c r="G18" s="398">
        <v>10114583.051002666</v>
      </c>
      <c r="H18" s="398">
        <v>21210003.860838927</v>
      </c>
      <c r="I18" s="398">
        <v>27237550.088606883</v>
      </c>
      <c r="J18" s="405">
        <v>28995331.654659152</v>
      </c>
      <c r="K18" s="405"/>
    </row>
    <row r="19" spans="2:15" x14ac:dyDescent="0.25">
      <c r="B19" s="7" t="s">
        <v>6</v>
      </c>
      <c r="C19" s="8" t="s">
        <v>12</v>
      </c>
      <c r="D19" s="398">
        <v>10102443.611115415</v>
      </c>
      <c r="E19" s="398">
        <v>31691708.826501258</v>
      </c>
      <c r="F19" s="398">
        <v>29974304.212553158</v>
      </c>
      <c r="G19" s="398">
        <v>19488305.090984438</v>
      </c>
      <c r="H19" s="398">
        <v>10372386.129156897</v>
      </c>
      <c r="I19" s="398">
        <v>10377469.059875524</v>
      </c>
      <c r="J19" s="405">
        <v>10404898.252542917</v>
      </c>
      <c r="K19" s="405"/>
    </row>
    <row r="20" spans="2:15" x14ac:dyDescent="0.25">
      <c r="B20" s="7" t="s">
        <v>7</v>
      </c>
      <c r="C20" s="8" t="s">
        <v>12</v>
      </c>
      <c r="D20" s="398">
        <v>3240000.0000000005</v>
      </c>
      <c r="E20" s="398">
        <v>3677999.9999999991</v>
      </c>
      <c r="F20" s="398">
        <v>4211999.9999999991</v>
      </c>
      <c r="G20" s="398">
        <v>4547999.9999999981</v>
      </c>
      <c r="H20" s="398">
        <v>4901999.9999999981</v>
      </c>
      <c r="I20" s="398">
        <v>4901999.9999999981</v>
      </c>
      <c r="J20" s="405">
        <v>4901999.9999999981</v>
      </c>
      <c r="K20" s="405"/>
    </row>
    <row r="21" spans="2:15" x14ac:dyDescent="0.25">
      <c r="B21" s="7" t="s">
        <v>9</v>
      </c>
      <c r="C21" s="8" t="s">
        <v>12</v>
      </c>
      <c r="D21" s="41">
        <v>0</v>
      </c>
      <c r="E21" s="41">
        <v>0</v>
      </c>
      <c r="F21" s="41">
        <v>0</v>
      </c>
      <c r="G21" s="41">
        <v>86101421.472000003</v>
      </c>
      <c r="H21" s="41">
        <v>86101421.472000003</v>
      </c>
      <c r="I21" s="41">
        <v>86101421.472000003</v>
      </c>
      <c r="J21" s="42">
        <v>86101421.472000003</v>
      </c>
      <c r="K21" s="42"/>
    </row>
    <row r="22" spans="2:15" x14ac:dyDescent="0.25">
      <c r="B22" s="15" t="s">
        <v>8</v>
      </c>
      <c r="C22" s="16" t="s">
        <v>12</v>
      </c>
      <c r="D22" s="17">
        <f t="shared" ref="D22:J22" si="3">SUM(D23:D26)</f>
        <v>38145840.218122013</v>
      </c>
      <c r="E22" s="17">
        <f t="shared" si="3"/>
        <v>37574972.612035491</v>
      </c>
      <c r="F22" s="17">
        <f t="shared" si="3"/>
        <v>36398234.567763455</v>
      </c>
      <c r="G22" s="17">
        <f t="shared" si="3"/>
        <v>121585313.52896887</v>
      </c>
      <c r="H22" s="17">
        <f t="shared" si="3"/>
        <v>122585811.46199583</v>
      </c>
      <c r="I22" s="17">
        <f t="shared" si="3"/>
        <v>128616504.62048241</v>
      </c>
      <c r="J22" s="18">
        <f t="shared" si="3"/>
        <v>130403651.37920207</v>
      </c>
      <c r="K22" s="18"/>
    </row>
    <row r="23" spans="2:15" x14ac:dyDescent="0.25">
      <c r="B23" s="7" t="s">
        <v>13</v>
      </c>
      <c r="C23" s="8" t="s">
        <v>12</v>
      </c>
      <c r="D23" s="398">
        <v>26783640.218122013</v>
      </c>
      <c r="E23" s="398">
        <v>26684972.612035491</v>
      </c>
      <c r="F23" s="398">
        <v>25508234.567763455</v>
      </c>
      <c r="G23" s="398">
        <v>24593892.056968872</v>
      </c>
      <c r="H23" s="398">
        <v>24384024.716666576</v>
      </c>
      <c r="I23" s="398">
        <v>23730559.148482412</v>
      </c>
      <c r="J23" s="405">
        <v>23357129.907202072</v>
      </c>
      <c r="K23" s="405"/>
    </row>
    <row r="24" spans="2:15" x14ac:dyDescent="0.25">
      <c r="B24" s="7" t="s">
        <v>11</v>
      </c>
      <c r="C24" s="8" t="s">
        <v>12</v>
      </c>
      <c r="D24" s="398">
        <v>10890000</v>
      </c>
      <c r="E24" s="398">
        <v>10890000</v>
      </c>
      <c r="F24" s="398">
        <v>10890000</v>
      </c>
      <c r="G24" s="398">
        <v>10890000</v>
      </c>
      <c r="H24" s="398">
        <v>10890000</v>
      </c>
      <c r="I24" s="398">
        <v>10890000</v>
      </c>
      <c r="J24" s="405">
        <v>10890000</v>
      </c>
      <c r="K24" s="405"/>
    </row>
    <row r="25" spans="2:15" x14ac:dyDescent="0.25">
      <c r="B25" s="7" t="s">
        <v>6</v>
      </c>
      <c r="C25" s="8" t="s">
        <v>12</v>
      </c>
      <c r="D25" s="398">
        <v>472199.99999999994</v>
      </c>
      <c r="E25" s="398">
        <v>0</v>
      </c>
      <c r="F25" s="398">
        <v>0</v>
      </c>
      <c r="G25" s="398">
        <v>0</v>
      </c>
      <c r="H25" s="398">
        <v>1210365.2733292447</v>
      </c>
      <c r="I25" s="398">
        <v>7894524</v>
      </c>
      <c r="J25" s="405">
        <v>10055100</v>
      </c>
      <c r="K25" s="405"/>
    </row>
    <row r="26" spans="2:15" x14ac:dyDescent="0.25">
      <c r="B26" s="7" t="s">
        <v>9</v>
      </c>
      <c r="C26" s="8" t="s">
        <v>12</v>
      </c>
      <c r="D26" s="41">
        <v>0</v>
      </c>
      <c r="E26" s="41">
        <v>0</v>
      </c>
      <c r="F26" s="41">
        <v>0</v>
      </c>
      <c r="G26" s="41">
        <v>86101421.472000003</v>
      </c>
      <c r="H26" s="41">
        <v>86101421.472000003</v>
      </c>
      <c r="I26" s="41">
        <v>86101421.472000003</v>
      </c>
      <c r="J26" s="42">
        <v>86101421.472000003</v>
      </c>
      <c r="K26" s="42"/>
    </row>
    <row r="27" spans="2:15" x14ac:dyDescent="0.25">
      <c r="B27" s="19" t="s">
        <v>14</v>
      </c>
      <c r="C27" s="20" t="s">
        <v>12</v>
      </c>
      <c r="D27" s="21">
        <f>SUM(D23:D26)</f>
        <v>38145840.218122013</v>
      </c>
      <c r="E27" s="21">
        <f t="shared" ref="E27" si="4">SUM(E23:E26)</f>
        <v>37574972.612035491</v>
      </c>
      <c r="F27" s="21">
        <f t="shared" ref="F27" si="5">SUM(F23:F26)</f>
        <v>36398234.567763455</v>
      </c>
      <c r="G27" s="21">
        <f t="shared" ref="G27" si="6">SUM(G23:G26)</f>
        <v>121585313.52896887</v>
      </c>
      <c r="H27" s="21">
        <f t="shared" ref="H27" si="7">SUM(H23:H26)</f>
        <v>122585811.46199583</v>
      </c>
      <c r="I27" s="21">
        <f t="shared" ref="I27" si="8">SUM(I23:I26)</f>
        <v>128616504.62048241</v>
      </c>
      <c r="J27" s="22">
        <f t="shared" ref="J27" si="9">SUM(J23:J26)</f>
        <v>130403651.37920207</v>
      </c>
      <c r="K27" s="22"/>
    </row>
    <row r="28" spans="2:15" x14ac:dyDescent="0.25">
      <c r="B28" s="391" t="s">
        <v>358</v>
      </c>
    </row>
    <row r="29" spans="2:15" x14ac:dyDescent="0.25">
      <c r="B29" s="1" t="s">
        <v>23</v>
      </c>
      <c r="C29" s="2"/>
      <c r="D29" s="2"/>
      <c r="E29" s="2"/>
      <c r="F29" s="2"/>
      <c r="G29" s="2"/>
      <c r="H29" s="2"/>
      <c r="I29" s="2"/>
      <c r="J29" s="2"/>
      <c r="K29" s="2"/>
      <c r="L29" s="3"/>
    </row>
    <row r="30" spans="2:15" x14ac:dyDescent="0.25">
      <c r="B30" s="4"/>
      <c r="C30" s="5" t="s">
        <v>1</v>
      </c>
      <c r="D30" s="5" t="s">
        <v>356</v>
      </c>
      <c r="E30" s="5" t="s">
        <v>357</v>
      </c>
      <c r="F30" s="5" t="s">
        <v>394</v>
      </c>
      <c r="G30" s="5">
        <v>2022</v>
      </c>
      <c r="H30" s="5">
        <v>2023</v>
      </c>
      <c r="I30" s="5">
        <v>2024</v>
      </c>
      <c r="J30" s="5">
        <v>2025</v>
      </c>
      <c r="K30" s="5">
        <v>2026</v>
      </c>
      <c r="L30" s="6">
        <v>2027</v>
      </c>
      <c r="M30" t="s">
        <v>365</v>
      </c>
      <c r="N30" t="s">
        <v>366</v>
      </c>
    </row>
    <row r="31" spans="2:15" x14ac:dyDescent="0.25">
      <c r="B31" s="7" t="s">
        <v>15</v>
      </c>
      <c r="C31" s="8" t="s">
        <v>27</v>
      </c>
      <c r="D31" s="393">
        <f>D$33*M31</f>
        <v>-225.78510688548386</v>
      </c>
      <c r="E31" s="393">
        <f>E$33*N31</f>
        <v>-226.81468733136418</v>
      </c>
      <c r="F31" s="422">
        <v>-121.65602519999999</v>
      </c>
      <c r="G31" s="40">
        <v>-207.6054623044534</v>
      </c>
      <c r="H31" s="40">
        <v>-211.3166423373973</v>
      </c>
      <c r="I31" s="40">
        <v>-214.99890993323984</v>
      </c>
      <c r="J31" s="423">
        <v>-218.79445730645173</v>
      </c>
      <c r="K31" s="423">
        <v>-222.77767604040616</v>
      </c>
      <c r="L31" s="45">
        <v>-226.83556311190387</v>
      </c>
      <c r="M31" s="392">
        <v>0.53365554250667102</v>
      </c>
      <c r="N31" s="392">
        <v>0.53608901262779463</v>
      </c>
      <c r="O31">
        <v>0.3</v>
      </c>
    </row>
    <row r="32" spans="2:15" x14ac:dyDescent="0.25">
      <c r="B32" s="7" t="s">
        <v>16</v>
      </c>
      <c r="C32" s="8" t="s">
        <v>27</v>
      </c>
      <c r="D32" s="393">
        <f>D$33*M32</f>
        <v>-197.30636111451616</v>
      </c>
      <c r="E32" s="393">
        <f>E$33*N32</f>
        <v>-196.27678066863584</v>
      </c>
      <c r="F32" s="422">
        <v>-283.86405879999995</v>
      </c>
      <c r="G32" s="40">
        <v>-213.53167574302444</v>
      </c>
      <c r="H32" s="40">
        <v>-218.8415770189045</v>
      </c>
      <c r="I32" s="40">
        <v>-225.91232913098483</v>
      </c>
      <c r="J32" s="423">
        <v>-234.15399078386884</v>
      </c>
      <c r="K32" s="423">
        <v>-242.37024827954943</v>
      </c>
      <c r="L32" s="45">
        <v>-250.08047552922079</v>
      </c>
      <c r="M32" s="392">
        <v>0.46634445749332898</v>
      </c>
      <c r="N32" s="392">
        <v>0.46391098737220537</v>
      </c>
      <c r="O32">
        <v>0.7</v>
      </c>
    </row>
    <row r="33" spans="2:12" x14ac:dyDescent="0.25">
      <c r="B33" s="34" t="s">
        <v>17</v>
      </c>
      <c r="C33" s="35" t="s">
        <v>18</v>
      </c>
      <c r="D33" s="394">
        <v>-423.09146800000002</v>
      </c>
      <c r="E33" s="394">
        <v>-423.09146800000002</v>
      </c>
      <c r="F33" s="36">
        <f t="shared" ref="F33:L33" si="10">SUM(F31:F32)</f>
        <v>-405.52008399999994</v>
      </c>
      <c r="G33" s="36">
        <f t="shared" si="10"/>
        <v>-421.13713804747783</v>
      </c>
      <c r="H33" s="36">
        <f t="shared" si="10"/>
        <v>-430.1582193563018</v>
      </c>
      <c r="I33" s="36">
        <f t="shared" si="10"/>
        <v>-440.91123906422467</v>
      </c>
      <c r="J33" s="36">
        <f t="shared" si="10"/>
        <v>-452.94844809032054</v>
      </c>
      <c r="K33" s="36">
        <f t="shared" si="10"/>
        <v>-465.14792431995556</v>
      </c>
      <c r="L33" s="37">
        <f t="shared" si="10"/>
        <v>-476.91603864112466</v>
      </c>
    </row>
    <row r="34" spans="2:12" x14ac:dyDescent="0.25">
      <c r="B34" s="7" t="s">
        <v>15</v>
      </c>
      <c r="C34" s="8" t="s">
        <v>19</v>
      </c>
      <c r="D34" s="11">
        <f t="shared" ref="D34:J35" si="11">D31/$D$58</f>
        <v>-30.351540110967047</v>
      </c>
      <c r="E34" s="11">
        <f t="shared" si="11"/>
        <v>-30.489943182062667</v>
      </c>
      <c r="F34" s="11">
        <f t="shared" si="11"/>
        <v>-16.353814383653717</v>
      </c>
      <c r="G34" s="11">
        <f t="shared" si="11"/>
        <v>-27.907711023585616</v>
      </c>
      <c r="H34" s="11">
        <f t="shared" si="11"/>
        <v>-28.406592598117662</v>
      </c>
      <c r="I34" s="11">
        <f t="shared" si="11"/>
        <v>-28.901587570001322</v>
      </c>
      <c r="J34" s="11">
        <f t="shared" si="11"/>
        <v>-29.411810365163561</v>
      </c>
      <c r="K34" s="11">
        <f t="shared" ref="K34:L34" si="12">K31/$D$58</f>
        <v>-29.947261196451965</v>
      </c>
      <c r="L34" s="12">
        <f t="shared" si="12"/>
        <v>-30.492749443729515</v>
      </c>
    </row>
    <row r="35" spans="2:12" x14ac:dyDescent="0.25">
      <c r="B35" s="7" t="s">
        <v>16</v>
      </c>
      <c r="C35" s="8" t="s">
        <v>19</v>
      </c>
      <c r="D35" s="30">
        <f t="shared" si="11"/>
        <v>-26.523237144040351</v>
      </c>
      <c r="E35" s="30">
        <f t="shared" si="11"/>
        <v>-26.384834072944727</v>
      </c>
      <c r="F35" s="30">
        <f t="shared" si="11"/>
        <v>-38.158900228525333</v>
      </c>
      <c r="G35" s="30">
        <f t="shared" si="11"/>
        <v>-28.704352163331688</v>
      </c>
      <c r="H35" s="30">
        <f t="shared" si="11"/>
        <v>-29.418144511211789</v>
      </c>
      <c r="I35" s="30">
        <f t="shared" si="11"/>
        <v>-30.368642173811644</v>
      </c>
      <c r="J35" s="30">
        <f t="shared" ref="J35:L35" si="13">J32/$D$58</f>
        <v>-31.476541307147308</v>
      </c>
      <c r="K35" s="30">
        <f t="shared" si="13"/>
        <v>-32.581025444219577</v>
      </c>
      <c r="L35" s="31">
        <f t="shared" si="13"/>
        <v>-33.617485620274337</v>
      </c>
    </row>
    <row r="36" spans="2:12" x14ac:dyDescent="0.25">
      <c r="B36" s="9" t="s">
        <v>17</v>
      </c>
      <c r="C36" s="10" t="s">
        <v>19</v>
      </c>
      <c r="D36" s="13">
        <f t="shared" ref="D36:I36" si="14">SUM(D34:D35)</f>
        <v>-56.874777255007402</v>
      </c>
      <c r="E36" s="13">
        <f t="shared" si="14"/>
        <v>-56.874777255007395</v>
      </c>
      <c r="F36" s="13">
        <f t="shared" si="14"/>
        <v>-54.512714612179053</v>
      </c>
      <c r="G36" s="13">
        <f t="shared" si="14"/>
        <v>-56.612063186917304</v>
      </c>
      <c r="H36" s="13">
        <f t="shared" si="14"/>
        <v>-57.824737109329448</v>
      </c>
      <c r="I36" s="13">
        <f t="shared" si="14"/>
        <v>-59.270229743812962</v>
      </c>
      <c r="J36" s="13">
        <f t="shared" ref="J36:L36" si="15">J33/$D$58</f>
        <v>-60.888351672310868</v>
      </c>
      <c r="K36" s="13">
        <f t="shared" si="15"/>
        <v>-62.528286640671539</v>
      </c>
      <c r="L36" s="14">
        <f t="shared" si="15"/>
        <v>-64.110235064003845</v>
      </c>
    </row>
    <row r="37" spans="2:12" x14ac:dyDescent="0.25">
      <c r="B37" s="390" t="s">
        <v>359</v>
      </c>
    </row>
    <row r="38" spans="2:12" x14ac:dyDescent="0.25">
      <c r="B38" s="1" t="s">
        <v>39</v>
      </c>
      <c r="C38" s="2"/>
      <c r="D38" s="2"/>
      <c r="E38" s="2"/>
      <c r="F38" s="2"/>
      <c r="G38" s="2"/>
      <c r="H38" s="2"/>
      <c r="I38" s="2"/>
      <c r="J38" s="2"/>
      <c r="K38" s="3"/>
    </row>
    <row r="39" spans="2:12" x14ac:dyDescent="0.25">
      <c r="B39" s="4"/>
      <c r="C39" s="5" t="s">
        <v>1</v>
      </c>
      <c r="D39" s="5" t="s">
        <v>31</v>
      </c>
      <c r="E39" s="5" t="s">
        <v>32</v>
      </c>
      <c r="F39" s="5" t="s">
        <v>33</v>
      </c>
      <c r="G39" s="5" t="s">
        <v>34</v>
      </c>
      <c r="H39" s="5" t="s">
        <v>35</v>
      </c>
      <c r="I39" s="5" t="s">
        <v>36</v>
      </c>
      <c r="J39" s="5" t="s">
        <v>393</v>
      </c>
      <c r="K39" s="6" t="s">
        <v>396</v>
      </c>
    </row>
    <row r="40" spans="2:12" x14ac:dyDescent="0.25">
      <c r="B40" s="7" t="s">
        <v>15</v>
      </c>
      <c r="C40" s="8" t="s">
        <v>19</v>
      </c>
      <c r="D40" s="41">
        <v>0</v>
      </c>
      <c r="E40" s="41">
        <v>0</v>
      </c>
      <c r="F40" s="41">
        <v>4.1083977831490133</v>
      </c>
      <c r="G40" s="41">
        <v>14.533297953083544</v>
      </c>
      <c r="H40" s="41">
        <v>14.060209995535249</v>
      </c>
      <c r="I40" s="41">
        <v>14.550449331612832</v>
      </c>
      <c r="J40" s="41">
        <v>15.075891586711315</v>
      </c>
      <c r="K40" s="42">
        <v>15.631326267351756</v>
      </c>
    </row>
    <row r="41" spans="2:12" x14ac:dyDescent="0.25">
      <c r="B41" s="25" t="s">
        <v>16</v>
      </c>
      <c r="C41" s="26" t="s">
        <v>19</v>
      </c>
      <c r="D41" s="46">
        <v>0</v>
      </c>
      <c r="E41" s="46">
        <v>0</v>
      </c>
      <c r="F41" s="46">
        <v>0</v>
      </c>
      <c r="G41" s="46">
        <v>59.079730696329747</v>
      </c>
      <c r="H41" s="46">
        <v>58.071396304388585</v>
      </c>
      <c r="I41" s="46">
        <v>56.819991606133165</v>
      </c>
      <c r="J41" s="46">
        <v>55.487708659017827</v>
      </c>
      <c r="K41" s="47">
        <v>54.272558917860849</v>
      </c>
    </row>
    <row r="42" spans="2:12" x14ac:dyDescent="0.25">
      <c r="B42" s="9" t="s">
        <v>17</v>
      </c>
      <c r="C42" s="10" t="s">
        <v>19</v>
      </c>
      <c r="D42" s="13">
        <f>SUM(D40:D41)</f>
        <v>0</v>
      </c>
      <c r="E42" s="13">
        <f t="shared" ref="E42:K42" si="16">SUM(E40:E41)</f>
        <v>0</v>
      </c>
      <c r="F42" s="13">
        <f t="shared" si="16"/>
        <v>4.1083977831490133</v>
      </c>
      <c r="G42" s="13">
        <f t="shared" si="16"/>
        <v>73.613028649413295</v>
      </c>
      <c r="H42" s="13">
        <f t="shared" si="16"/>
        <v>72.131606299923831</v>
      </c>
      <c r="I42" s="13">
        <f t="shared" si="16"/>
        <v>71.370440937745997</v>
      </c>
      <c r="J42" s="13">
        <f t="shared" si="16"/>
        <v>70.563600245729134</v>
      </c>
      <c r="K42" s="14">
        <f t="shared" si="16"/>
        <v>69.903885185212602</v>
      </c>
    </row>
    <row r="43" spans="2:12" x14ac:dyDescent="0.25">
      <c r="J43" s="8"/>
    </row>
    <row r="44" spans="2:12" x14ac:dyDescent="0.25">
      <c r="B44" s="1" t="s">
        <v>22</v>
      </c>
      <c r="C44" s="2"/>
      <c r="D44" s="2"/>
      <c r="E44" s="2"/>
      <c r="F44" s="2"/>
      <c r="G44" s="2"/>
      <c r="H44" s="2"/>
      <c r="I44" s="2"/>
      <c r="J44" s="2"/>
      <c r="K44" s="3"/>
    </row>
    <row r="45" spans="2:12" x14ac:dyDescent="0.25">
      <c r="B45" s="4"/>
      <c r="C45" s="5" t="s">
        <v>1</v>
      </c>
      <c r="D45" s="5" t="s">
        <v>31</v>
      </c>
      <c r="E45" s="5" t="s">
        <v>32</v>
      </c>
      <c r="F45" s="5" t="s">
        <v>33</v>
      </c>
      <c r="G45" s="5" t="s">
        <v>34</v>
      </c>
      <c r="H45" s="5" t="s">
        <v>35</v>
      </c>
      <c r="I45" s="5" t="s">
        <v>36</v>
      </c>
      <c r="J45" s="5" t="s">
        <v>393</v>
      </c>
      <c r="K45" s="6" t="s">
        <v>396</v>
      </c>
    </row>
    <row r="46" spans="2:12" x14ac:dyDescent="0.25">
      <c r="B46" s="7" t="s">
        <v>15</v>
      </c>
      <c r="C46" s="8" t="s">
        <v>19</v>
      </c>
      <c r="D46" s="11">
        <f t="shared" ref="D46:K47" si="17">D34*0.25+E34*0.75-D40</f>
        <v>-30.455342414288765</v>
      </c>
      <c r="E46" s="11">
        <f t="shared" si="17"/>
        <v>-19.887846583255957</v>
      </c>
      <c r="F46" s="11">
        <f t="shared" si="17"/>
        <v>-29.127634646751652</v>
      </c>
      <c r="G46" s="11">
        <f t="shared" si="17"/>
        <v>-42.81517015756819</v>
      </c>
      <c r="H46" s="11">
        <f t="shared" si="17"/>
        <v>-42.838048822565653</v>
      </c>
      <c r="I46" s="11">
        <f>I34*0.25+J34*0.75-I40</f>
        <v>-43.834703997985834</v>
      </c>
      <c r="J46" s="41">
        <f>J34*0.25+K34*0.75-J40</f>
        <v>-44.889290075341179</v>
      </c>
      <c r="K46" s="42">
        <f>K34*0.25+L34*0.75-K40</f>
        <v>-45.987703649261888</v>
      </c>
    </row>
    <row r="47" spans="2:12" x14ac:dyDescent="0.25">
      <c r="B47" s="25" t="s">
        <v>16</v>
      </c>
      <c r="C47" s="26" t="s">
        <v>19</v>
      </c>
      <c r="D47" s="33">
        <f t="shared" si="17"/>
        <v>-26.419434840718633</v>
      </c>
      <c r="E47" s="33">
        <f t="shared" si="17"/>
        <v>-35.21538368963018</v>
      </c>
      <c r="F47" s="33">
        <f t="shared" si="17"/>
        <v>-31.067989179630096</v>
      </c>
      <c r="G47" s="33">
        <f t="shared" si="17"/>
        <v>-88.319427120571504</v>
      </c>
      <c r="H47" s="33">
        <f t="shared" si="17"/>
        <v>-88.202414062550261</v>
      </c>
      <c r="I47" s="33">
        <f t="shared" si="17"/>
        <v>-88.01955812994656</v>
      </c>
      <c r="J47" s="46">
        <f t="shared" si="17"/>
        <v>-87.792613068969331</v>
      </c>
      <c r="K47" s="47">
        <f t="shared" si="17"/>
        <v>-87.630929494121489</v>
      </c>
    </row>
    <row r="48" spans="2:12" x14ac:dyDescent="0.25">
      <c r="B48" s="9" t="s">
        <v>17</v>
      </c>
      <c r="C48" s="10" t="s">
        <v>19</v>
      </c>
      <c r="D48" s="13">
        <f>SUM(D46:D47)</f>
        <v>-56.874777255007402</v>
      </c>
      <c r="E48" s="13">
        <f t="shared" ref="E48" si="18">SUM(E46:E47)</f>
        <v>-55.103230272886137</v>
      </c>
      <c r="F48" s="13">
        <f t="shared" ref="F48" si="19">SUM(F46:F47)</f>
        <v>-60.195623826381748</v>
      </c>
      <c r="G48" s="13">
        <f t="shared" ref="G48" si="20">SUM(G46:G47)</f>
        <v>-131.13459727813969</v>
      </c>
      <c r="H48" s="13">
        <f t="shared" ref="H48" si="21">SUM(H46:H47)</f>
        <v>-131.04046288511591</v>
      </c>
      <c r="I48" s="13">
        <f>SUM(I46:I47)</f>
        <v>-131.8542621279324</v>
      </c>
      <c r="J48" s="13">
        <f t="shared" ref="J48:K48" si="22">SUM(J46:J47)</f>
        <v>-132.68190314431052</v>
      </c>
      <c r="K48" s="14">
        <f t="shared" si="22"/>
        <v>-133.61863314338336</v>
      </c>
    </row>
    <row r="49" spans="2:11" x14ac:dyDescent="0.25">
      <c r="B49" s="8"/>
      <c r="C49" s="8"/>
      <c r="D49" s="11"/>
      <c r="E49" s="11"/>
      <c r="F49" s="11"/>
      <c r="G49" s="11"/>
      <c r="H49" s="11"/>
    </row>
    <row r="50" spans="2:11" x14ac:dyDescent="0.25">
      <c r="B50" s="1" t="s">
        <v>21</v>
      </c>
      <c r="C50" s="2"/>
      <c r="D50" s="2"/>
      <c r="E50" s="2"/>
      <c r="F50" s="2"/>
      <c r="G50" s="2"/>
      <c r="H50" s="2"/>
      <c r="I50" s="2"/>
      <c r="J50" s="2"/>
      <c r="K50" s="3"/>
    </row>
    <row r="51" spans="2:11" x14ac:dyDescent="0.25">
      <c r="B51" s="4"/>
      <c r="C51" s="5" t="s">
        <v>1</v>
      </c>
      <c r="D51" s="5">
        <v>2019</v>
      </c>
      <c r="E51" s="5">
        <v>2020</v>
      </c>
      <c r="F51" s="5">
        <v>2021</v>
      </c>
      <c r="G51" s="5">
        <v>2022</v>
      </c>
      <c r="H51" s="5">
        <v>2023</v>
      </c>
      <c r="I51" s="5">
        <v>2024</v>
      </c>
      <c r="J51" s="5">
        <v>2025</v>
      </c>
      <c r="K51" s="6">
        <v>2026</v>
      </c>
    </row>
    <row r="52" spans="2:11" x14ac:dyDescent="0.25">
      <c r="B52" s="9" t="s">
        <v>40</v>
      </c>
      <c r="C52" s="10" t="s">
        <v>20</v>
      </c>
      <c r="D52" s="48">
        <v>1.0171856960675363</v>
      </c>
      <c r="E52" s="48">
        <v>1.0379406458664808</v>
      </c>
      <c r="F52" s="48">
        <v>1.0604507026722423</v>
      </c>
      <c r="G52" s="48">
        <v>1.083462529048107</v>
      </c>
      <c r="H52" s="48">
        <v>1.1064310716083967</v>
      </c>
      <c r="I52" s="48">
        <v>1.1293827918700512</v>
      </c>
      <c r="J52" s="48">
        <v>1.1530660134591915</v>
      </c>
      <c r="K52" s="49">
        <v>1.1778803330848375</v>
      </c>
    </row>
    <row r="54" spans="2:11" x14ac:dyDescent="0.25">
      <c r="B54" s="1" t="s">
        <v>54</v>
      </c>
      <c r="C54" s="2"/>
      <c r="D54" s="3"/>
    </row>
    <row r="55" spans="2:11" x14ac:dyDescent="0.25">
      <c r="B55" s="4"/>
      <c r="C55" s="5" t="s">
        <v>1</v>
      </c>
      <c r="D55" s="6"/>
    </row>
    <row r="56" spans="2:11" x14ac:dyDescent="0.25">
      <c r="B56" s="7" t="s">
        <v>55</v>
      </c>
      <c r="C56" s="8" t="s">
        <v>20</v>
      </c>
      <c r="D56" s="51">
        <v>12.1</v>
      </c>
    </row>
    <row r="57" spans="2:11" x14ac:dyDescent="0.25">
      <c r="B57" s="7" t="s">
        <v>56</v>
      </c>
      <c r="C57" s="8" t="s">
        <v>20</v>
      </c>
      <c r="D57" s="51">
        <v>11.62</v>
      </c>
    </row>
    <row r="58" spans="2:11" x14ac:dyDescent="0.25">
      <c r="B58" s="9" t="s">
        <v>57</v>
      </c>
      <c r="C58" s="10" t="s">
        <v>20</v>
      </c>
      <c r="D58" s="52">
        <v>7.4390000000000001</v>
      </c>
    </row>
    <row r="60" spans="2:11" x14ac:dyDescent="0.25">
      <c r="B60" s="1" t="s">
        <v>395</v>
      </c>
      <c r="C60" s="2"/>
      <c r="D60" s="2"/>
      <c r="E60" s="2"/>
      <c r="F60" s="2"/>
      <c r="G60" s="2"/>
      <c r="H60" s="2"/>
      <c r="I60" s="2"/>
      <c r="J60" s="2"/>
      <c r="K60" s="3"/>
    </row>
    <row r="61" spans="2:11" x14ac:dyDescent="0.25">
      <c r="B61" s="4"/>
      <c r="C61" s="5" t="s">
        <v>1</v>
      </c>
      <c r="D61" s="5">
        <v>2019</v>
      </c>
      <c r="E61" s="5">
        <v>2020</v>
      </c>
      <c r="F61" s="5">
        <v>2021</v>
      </c>
      <c r="G61" s="5">
        <v>2022</v>
      </c>
      <c r="H61" s="5">
        <v>2023</v>
      </c>
      <c r="I61" s="5">
        <v>2024</v>
      </c>
      <c r="J61" s="5">
        <v>2025</v>
      </c>
      <c r="K61" s="6">
        <v>2026</v>
      </c>
    </row>
    <row r="62" spans="2:11" x14ac:dyDescent="0.25">
      <c r="B62" s="7" t="s">
        <v>374</v>
      </c>
      <c r="C62" s="8" t="s">
        <v>389</v>
      </c>
      <c r="D62" s="408">
        <v>4329333.333333333</v>
      </c>
      <c r="E62" s="408">
        <v>4616666.666666667</v>
      </c>
      <c r="F62" s="436">
        <v>4542500</v>
      </c>
      <c r="G62" s="433">
        <v>3700000</v>
      </c>
      <c r="H62" s="433">
        <v>3629166.6666666665</v>
      </c>
      <c r="I62" s="433">
        <v>3516666.6666666665</v>
      </c>
      <c r="J62" s="433">
        <v>3395833.3333333335</v>
      </c>
      <c r="K62" s="434">
        <v>3120833.3333333335</v>
      </c>
    </row>
    <row r="63" spans="2:11" x14ac:dyDescent="0.25">
      <c r="B63" s="7" t="s">
        <v>375</v>
      </c>
      <c r="C63" s="8" t="s">
        <v>389</v>
      </c>
      <c r="D63" s="408">
        <v>420635.47825000004</v>
      </c>
      <c r="E63" s="408">
        <v>0</v>
      </c>
      <c r="F63" s="436">
        <v>0</v>
      </c>
      <c r="G63" s="433">
        <v>0</v>
      </c>
      <c r="H63" s="433"/>
      <c r="I63" s="433"/>
      <c r="J63" s="433">
        <v>0</v>
      </c>
      <c r="K63" s="434">
        <v>0</v>
      </c>
    </row>
    <row r="64" spans="2:11" x14ac:dyDescent="0.25">
      <c r="B64" s="7" t="s">
        <v>376</v>
      </c>
      <c r="C64" s="8" t="s">
        <v>389</v>
      </c>
      <c r="D64" s="408">
        <v>378028.86274999997</v>
      </c>
      <c r="E64" s="408">
        <v>0</v>
      </c>
      <c r="F64" s="436">
        <v>0</v>
      </c>
      <c r="G64" s="433">
        <v>0</v>
      </c>
      <c r="H64" s="433">
        <v>145000</v>
      </c>
      <c r="I64" s="433">
        <v>950000</v>
      </c>
      <c r="J64" s="433">
        <v>1200000</v>
      </c>
      <c r="K64" s="434">
        <v>1200000</v>
      </c>
    </row>
    <row r="65" spans="2:11" x14ac:dyDescent="0.25">
      <c r="B65" s="7" t="s">
        <v>377</v>
      </c>
      <c r="C65" s="8" t="s">
        <v>389</v>
      </c>
      <c r="D65" s="408">
        <v>3369455.8265833333</v>
      </c>
      <c r="E65" s="408">
        <v>4012542.625</v>
      </c>
      <c r="F65" s="436">
        <v>3726351.25</v>
      </c>
      <c r="G65" s="433">
        <v>3516078.125</v>
      </c>
      <c r="H65" s="433">
        <v>2456031.5</v>
      </c>
      <c r="I65" s="433">
        <v>1726950</v>
      </c>
      <c r="J65" s="433">
        <v>1587500</v>
      </c>
      <c r="K65" s="434">
        <v>1341666.6666666667</v>
      </c>
    </row>
    <row r="66" spans="2:11" x14ac:dyDescent="0.25">
      <c r="B66" s="7" t="s">
        <v>378</v>
      </c>
      <c r="C66" s="8" t="s">
        <v>389</v>
      </c>
      <c r="D66" s="408">
        <v>3386184.1718333331</v>
      </c>
      <c r="E66" s="408">
        <v>260000</v>
      </c>
      <c r="F66" s="436">
        <v>270000</v>
      </c>
      <c r="G66" s="433">
        <v>210000</v>
      </c>
      <c r="H66" s="433">
        <v>2300000</v>
      </c>
      <c r="I66" s="433">
        <v>2400000</v>
      </c>
      <c r="J66" s="433">
        <v>2562500</v>
      </c>
      <c r="K66" s="434">
        <v>2525000</v>
      </c>
    </row>
    <row r="67" spans="2:11" x14ac:dyDescent="0.25">
      <c r="B67" s="7" t="s">
        <v>379</v>
      </c>
      <c r="C67" s="8" t="s">
        <v>389</v>
      </c>
      <c r="D67" s="408">
        <v>362729.16666666669</v>
      </c>
      <c r="E67" s="408">
        <v>505000</v>
      </c>
      <c r="F67" s="436">
        <v>545000</v>
      </c>
      <c r="G67" s="433">
        <v>785000.00000000035</v>
      </c>
      <c r="H67" s="433">
        <v>829999.99999999988</v>
      </c>
      <c r="I67" s="433">
        <v>854999.99999999988</v>
      </c>
      <c r="J67" s="433">
        <v>887500.00000000012</v>
      </c>
      <c r="K67" s="434">
        <v>927500.00000000012</v>
      </c>
    </row>
    <row r="68" spans="2:11" x14ac:dyDescent="0.25">
      <c r="B68" s="7" t="s">
        <v>380</v>
      </c>
      <c r="C68" s="8" t="s">
        <v>389</v>
      </c>
      <c r="D68" s="408">
        <v>12246366.839416666</v>
      </c>
      <c r="E68" s="408">
        <v>9394209.2916666679</v>
      </c>
      <c r="F68" s="436">
        <v>9083851.25</v>
      </c>
      <c r="G68" s="433">
        <f>SUM(G62:G67)</f>
        <v>8211078.125</v>
      </c>
      <c r="H68" s="433">
        <f t="shared" ref="H68:K68" si="23">SUM(H62:H67)</f>
        <v>9360198.166666666</v>
      </c>
      <c r="I68" s="433">
        <f t="shared" si="23"/>
        <v>9448616.666666666</v>
      </c>
      <c r="J68" s="433">
        <f t="shared" si="23"/>
        <v>9633333.333333334</v>
      </c>
      <c r="K68" s="434">
        <f t="shared" si="23"/>
        <v>9115000.0000000019</v>
      </c>
    </row>
    <row r="69" spans="2:11" x14ac:dyDescent="0.25">
      <c r="B69" s="410" t="s">
        <v>381</v>
      </c>
      <c r="C69" s="411" t="s">
        <v>390</v>
      </c>
      <c r="D69" s="412">
        <v>36543778414.807365</v>
      </c>
      <c r="E69" s="412">
        <v>39487068126.119751</v>
      </c>
      <c r="F69" s="437">
        <v>32801983742.9604</v>
      </c>
      <c r="G69" s="431">
        <v>33183752661.290897</v>
      </c>
      <c r="H69" s="431">
        <v>32617537156.64415</v>
      </c>
      <c r="I69" s="431">
        <v>31937406852.220245</v>
      </c>
      <c r="J69" s="431">
        <v>30919377205.258415</v>
      </c>
      <c r="K69" s="432">
        <v>29016371261.430626</v>
      </c>
    </row>
    <row r="70" spans="2:11" x14ac:dyDescent="0.25">
      <c r="B70" s="7" t="s">
        <v>382</v>
      </c>
      <c r="C70" s="8" t="s">
        <v>390</v>
      </c>
      <c r="D70" s="408">
        <v>3169529598</v>
      </c>
      <c r="E70" s="408">
        <v>0</v>
      </c>
      <c r="F70" s="436">
        <v>0</v>
      </c>
      <c r="G70" s="433">
        <v>0</v>
      </c>
      <c r="H70" s="433"/>
      <c r="I70" s="433"/>
      <c r="J70" s="433">
        <v>0</v>
      </c>
      <c r="K70" s="434">
        <v>0</v>
      </c>
    </row>
    <row r="71" spans="2:11" x14ac:dyDescent="0.25">
      <c r="B71" s="7" t="s">
        <v>383</v>
      </c>
      <c r="C71" s="8" t="s">
        <v>390</v>
      </c>
      <c r="D71" s="408">
        <v>3184306587</v>
      </c>
      <c r="E71" s="408">
        <v>0</v>
      </c>
      <c r="F71" s="436">
        <v>0</v>
      </c>
      <c r="G71" s="433">
        <v>0</v>
      </c>
      <c r="H71" s="433">
        <v>1210365273.3292446</v>
      </c>
      <c r="I71" s="433">
        <v>7894557650.3602695</v>
      </c>
      <c r="J71" s="433">
        <v>10051299227.315382</v>
      </c>
      <c r="K71" s="434">
        <v>10377529529.272654</v>
      </c>
    </row>
    <row r="72" spans="2:11" x14ac:dyDescent="0.25">
      <c r="B72" s="7" t="s">
        <v>384</v>
      </c>
      <c r="C72" s="8" t="s">
        <v>390</v>
      </c>
      <c r="D72" s="408">
        <v>42897614599.807365</v>
      </c>
      <c r="E72" s="408">
        <v>39487068126.119751</v>
      </c>
      <c r="F72" s="436">
        <v>39151836556.529366</v>
      </c>
      <c r="G72" s="433">
        <f t="shared" ref="G72:J72" si="24">G69+G71</f>
        <v>33183752661.290897</v>
      </c>
      <c r="H72" s="433">
        <f t="shared" si="24"/>
        <v>33827902429.973396</v>
      </c>
      <c r="I72" s="433">
        <f t="shared" si="24"/>
        <v>39831964502.580513</v>
      </c>
      <c r="J72" s="433">
        <f t="shared" si="24"/>
        <v>40970676432.573799</v>
      </c>
      <c r="K72" s="434">
        <f t="shared" ref="K72" si="25">K69+K71</f>
        <v>39393900790.703278</v>
      </c>
    </row>
    <row r="73" spans="2:11" x14ac:dyDescent="0.25">
      <c r="B73" s="7" t="s">
        <v>385</v>
      </c>
      <c r="C73" s="8" t="s">
        <v>390</v>
      </c>
      <c r="D73" s="408">
        <v>10987216860</v>
      </c>
      <c r="E73" s="408">
        <v>32196424143.103508</v>
      </c>
      <c r="F73" s="436">
        <v>31752222695.210487</v>
      </c>
      <c r="G73" s="430">
        <v>26982895773.076611</v>
      </c>
      <c r="H73" s="430">
        <v>12783045786.471119</v>
      </c>
      <c r="I73" s="430">
        <v>17280000000</v>
      </c>
      <c r="J73" s="430">
        <v>18334728507.825253</v>
      </c>
      <c r="K73" s="435"/>
    </row>
    <row r="74" spans="2:11" x14ac:dyDescent="0.25">
      <c r="B74" s="7" t="s">
        <v>386</v>
      </c>
      <c r="C74" s="8" t="s">
        <v>390</v>
      </c>
      <c r="D74" s="408">
        <v>28034548865</v>
      </c>
      <c r="E74" s="408">
        <v>2208250000</v>
      </c>
      <c r="F74" s="436">
        <v>2208249999.9999995</v>
      </c>
      <c r="G74" s="430">
        <v>6884900000</v>
      </c>
      <c r="H74" s="430">
        <v>20231417114.125706</v>
      </c>
      <c r="I74" s="430">
        <v>20806351783.361046</v>
      </c>
      <c r="J74" s="430">
        <v>21269608945.495831</v>
      </c>
      <c r="K74" s="435"/>
    </row>
    <row r="75" spans="2:11" x14ac:dyDescent="0.25">
      <c r="B75" s="7" t="s">
        <v>387</v>
      </c>
      <c r="C75" s="8" t="s">
        <v>390</v>
      </c>
      <c r="D75" s="408">
        <v>3008851975</v>
      </c>
      <c r="E75" s="408">
        <v>4320000000</v>
      </c>
      <c r="F75" s="436">
        <v>4632000000</v>
      </c>
      <c r="G75" s="430">
        <v>6168000000</v>
      </c>
      <c r="H75" s="430">
        <v>6168000000</v>
      </c>
      <c r="I75" s="430">
        <v>6168000000</v>
      </c>
      <c r="J75" s="430">
        <v>6168000000</v>
      </c>
      <c r="K75" s="435"/>
    </row>
    <row r="76" spans="2:11" x14ac:dyDescent="0.25">
      <c r="B76" s="9" t="s">
        <v>388</v>
      </c>
      <c r="C76" s="10" t="s">
        <v>390</v>
      </c>
      <c r="D76" s="409">
        <v>42030617700</v>
      </c>
      <c r="E76" s="409">
        <v>38724674143.103508</v>
      </c>
      <c r="F76" s="438">
        <v>38592472695.210487</v>
      </c>
      <c r="G76" s="440">
        <v>40035795773.076614</v>
      </c>
      <c r="H76" s="440">
        <v>39182462900.596825</v>
      </c>
      <c r="I76" s="440">
        <v>44254351783.361046</v>
      </c>
      <c r="J76" s="440">
        <v>45772337453.321083</v>
      </c>
      <c r="K76" s="441">
        <f t="shared" ref="K76" si="26">SUM(K73:K75)</f>
        <v>0</v>
      </c>
    </row>
    <row r="78" spans="2:11" x14ac:dyDescent="0.25">
      <c r="J78" s="32"/>
    </row>
    <row r="79" spans="2:11" x14ac:dyDescent="0.25">
      <c r="F79" s="32"/>
      <c r="G79" s="32"/>
      <c r="H79" s="32"/>
      <c r="I79" s="32"/>
      <c r="J79" s="32"/>
      <c r="K79" s="32"/>
    </row>
    <row r="80" spans="2:11" x14ac:dyDescent="0.25">
      <c r="F80" s="32"/>
      <c r="G80" s="32"/>
      <c r="H80" s="32"/>
      <c r="I80" s="32"/>
      <c r="J80" s="32"/>
      <c r="K80" s="32"/>
    </row>
    <row r="81" spans="6:11" x14ac:dyDescent="0.25">
      <c r="F81" s="11"/>
      <c r="G81" s="11"/>
      <c r="H81" s="11"/>
      <c r="I81" s="11"/>
      <c r="J81" s="11"/>
      <c r="K81" s="11"/>
    </row>
    <row r="82" spans="6:11" x14ac:dyDescent="0.25">
      <c r="F82" s="32"/>
      <c r="G82" s="32"/>
      <c r="H82" s="32"/>
      <c r="I82" s="32"/>
      <c r="J82" s="32"/>
      <c r="K82" s="32"/>
    </row>
    <row r="83" spans="6:11" x14ac:dyDescent="0.25">
      <c r="F83" s="32"/>
      <c r="G83" s="32"/>
      <c r="H83" s="32"/>
      <c r="I83" s="32"/>
      <c r="J83" s="32"/>
      <c r="K83" s="32"/>
    </row>
    <row r="84" spans="6:11" x14ac:dyDescent="0.25">
      <c r="F84" s="32"/>
      <c r="G84" s="32"/>
      <c r="H84" s="32"/>
      <c r="I84" s="32"/>
      <c r="J84" s="32"/>
      <c r="K84" s="32"/>
    </row>
  </sheetData>
  <sheetProtection algorithmName="SHA-512" hashValue="BMN5I2N3zqTMKhF5H10c5WWhNtp73ZGRWVhSpbga/+7TF96Aq54uM7n0H2YCQefeJkcg7FwSEmlr3j1gTigq7Q==" saltValue="PZYjB1l5Hkq7RVUayGIbbg=="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0000"/>
  </sheetPr>
  <dimension ref="A1:T53"/>
  <sheetViews>
    <sheetView showGridLines="0" topLeftCell="A16" workbookViewId="0">
      <selection activeCell="F24" sqref="F24"/>
    </sheetView>
  </sheetViews>
  <sheetFormatPr defaultColWidth="9.140625" defaultRowHeight="15" x14ac:dyDescent="0.25"/>
  <cols>
    <col min="1" max="1" width="33.5703125" style="53" bestFit="1" customWidth="1"/>
    <col min="2" max="6" width="14" style="53" customWidth="1"/>
    <col min="7" max="7" width="12.140625" style="53" customWidth="1"/>
    <col min="8" max="8" width="11.28515625" style="53" customWidth="1"/>
    <col min="9" max="19" width="9.140625" style="53"/>
    <col min="20" max="20" width="11.5703125" style="53" bestFit="1" customWidth="1"/>
    <col min="21" max="16384" width="9.140625" style="53"/>
  </cols>
  <sheetData>
    <row r="1" spans="1:20" ht="15.75" thickBot="1" x14ac:dyDescent="0.3">
      <c r="A1" s="239" t="s">
        <v>307</v>
      </c>
      <c r="B1" s="240"/>
      <c r="C1" s="240"/>
      <c r="D1" s="240"/>
      <c r="E1" s="240"/>
      <c r="F1" s="240"/>
      <c r="G1" s="240"/>
      <c r="H1" s="240"/>
    </row>
    <row r="2" spans="1:20" x14ac:dyDescent="0.25">
      <c r="A2" s="241" t="s">
        <v>224</v>
      </c>
      <c r="B2" s="270" t="s">
        <v>31</v>
      </c>
      <c r="C2" s="270" t="s">
        <v>32</v>
      </c>
      <c r="D2" s="270" t="s">
        <v>33</v>
      </c>
      <c r="E2" s="270" t="s">
        <v>34</v>
      </c>
      <c r="F2" s="270" t="s">
        <v>35</v>
      </c>
      <c r="G2" s="270" t="s">
        <v>36</v>
      </c>
      <c r="H2" s="270" t="s">
        <v>393</v>
      </c>
    </row>
    <row r="3" spans="1:20" x14ac:dyDescent="0.25">
      <c r="A3" s="242" t="s">
        <v>266</v>
      </c>
      <c r="B3" s="244"/>
      <c r="C3" s="271"/>
      <c r="D3" s="271"/>
      <c r="E3" s="271"/>
      <c r="F3" s="271"/>
      <c r="G3" s="271"/>
      <c r="H3" s="245"/>
    </row>
    <row r="4" spans="1:20" x14ac:dyDescent="0.25">
      <c r="A4" s="242" t="s">
        <v>267</v>
      </c>
      <c r="B4" s="243"/>
      <c r="C4" s="272"/>
      <c r="D4" s="272"/>
      <c r="E4" s="272"/>
      <c r="F4" s="272"/>
      <c r="G4" s="272"/>
      <c r="H4" s="245"/>
    </row>
    <row r="5" spans="1:20" x14ac:dyDescent="0.25">
      <c r="A5" s="242" t="s">
        <v>268</v>
      </c>
      <c r="B5" s="243"/>
      <c r="C5" s="272"/>
      <c r="D5" s="272"/>
      <c r="E5" s="272"/>
      <c r="F5" s="272"/>
      <c r="G5" s="272"/>
      <c r="H5" s="245"/>
    </row>
    <row r="6" spans="1:20" x14ac:dyDescent="0.25">
      <c r="A6" s="242" t="s">
        <v>269</v>
      </c>
      <c r="B6" s="243"/>
      <c r="C6" s="272"/>
      <c r="D6" s="272"/>
      <c r="E6" s="272"/>
      <c r="F6" s="272"/>
      <c r="G6" s="272"/>
      <c r="H6" s="245"/>
    </row>
    <row r="7" spans="1:20" x14ac:dyDescent="0.25">
      <c r="A7" s="246" t="s">
        <v>270</v>
      </c>
      <c r="B7" s="243"/>
      <c r="C7" s="272"/>
      <c r="D7" s="272"/>
      <c r="E7" s="272"/>
      <c r="F7" s="272"/>
      <c r="G7" s="272"/>
      <c r="H7" s="245"/>
      <c r="T7" s="406"/>
    </row>
    <row r="8" spans="1:20" x14ac:dyDescent="0.25">
      <c r="A8" s="246" t="s">
        <v>271</v>
      </c>
      <c r="B8" s="243"/>
      <c r="C8" s="272"/>
      <c r="D8" s="272"/>
      <c r="E8" s="272"/>
      <c r="F8" s="272"/>
      <c r="G8" s="272"/>
      <c r="H8" s="245"/>
    </row>
    <row r="9" spans="1:20" x14ac:dyDescent="0.25">
      <c r="A9" s="246" t="s">
        <v>272</v>
      </c>
      <c r="B9" s="243"/>
      <c r="C9" s="272"/>
      <c r="D9" s="272"/>
      <c r="E9" s="272"/>
      <c r="F9" s="272"/>
      <c r="G9" s="272"/>
      <c r="H9" s="245"/>
    </row>
    <row r="10" spans="1:20" x14ac:dyDescent="0.25">
      <c r="A10" s="246" t="s">
        <v>273</v>
      </c>
      <c r="B10" s="243"/>
      <c r="C10" s="272"/>
      <c r="D10" s="272"/>
      <c r="E10" s="272"/>
      <c r="F10" s="272"/>
      <c r="G10" s="272"/>
      <c r="H10" s="245"/>
    </row>
    <row r="11" spans="1:20" x14ac:dyDescent="0.25">
      <c r="A11" s="246" t="s">
        <v>274</v>
      </c>
      <c r="B11" s="243"/>
      <c r="C11" s="272"/>
      <c r="D11" s="272"/>
      <c r="E11" s="272"/>
      <c r="F11" s="272"/>
      <c r="G11" s="272"/>
      <c r="H11" s="245"/>
    </row>
    <row r="12" spans="1:20" x14ac:dyDescent="0.25">
      <c r="A12" s="246" t="s">
        <v>275</v>
      </c>
      <c r="B12" s="243"/>
      <c r="C12" s="272"/>
      <c r="D12" s="272"/>
      <c r="E12" s="272"/>
      <c r="F12" s="272"/>
      <c r="G12" s="272"/>
      <c r="H12" s="245"/>
    </row>
    <row r="13" spans="1:20" x14ac:dyDescent="0.25">
      <c r="A13" s="247" t="s">
        <v>229</v>
      </c>
      <c r="B13" s="243"/>
      <c r="C13" s="272"/>
      <c r="D13" s="272"/>
      <c r="E13" s="272"/>
      <c r="F13" s="272"/>
      <c r="G13" s="272"/>
      <c r="H13" s="245"/>
    </row>
    <row r="14" spans="1:20" x14ac:dyDescent="0.25">
      <c r="A14" s="246" t="s">
        <v>276</v>
      </c>
      <c r="B14" s="243"/>
      <c r="C14" s="272"/>
      <c r="D14" s="272"/>
      <c r="E14" s="272"/>
      <c r="F14" s="272"/>
      <c r="G14" s="272"/>
      <c r="H14" s="245"/>
    </row>
    <row r="15" spans="1:20" x14ac:dyDescent="0.25">
      <c r="A15" s="247" t="s">
        <v>229</v>
      </c>
      <c r="B15" s="248"/>
      <c r="C15" s="113"/>
      <c r="D15" s="113"/>
      <c r="E15" s="113"/>
      <c r="F15" s="113"/>
      <c r="G15" s="113"/>
      <c r="H15" s="245"/>
    </row>
    <row r="16" spans="1:20" x14ac:dyDescent="0.25">
      <c r="A16" s="246" t="s">
        <v>277</v>
      </c>
      <c r="B16" s="243"/>
      <c r="C16" s="272"/>
      <c r="D16" s="272"/>
      <c r="E16" s="272"/>
      <c r="F16" s="272"/>
      <c r="G16" s="272"/>
      <c r="H16" s="245"/>
    </row>
    <row r="17" spans="1:9" x14ac:dyDescent="0.25">
      <c r="A17" s="247" t="s">
        <v>229</v>
      </c>
      <c r="B17" s="248"/>
      <c r="C17" s="113"/>
      <c r="D17" s="113"/>
      <c r="E17" s="113"/>
      <c r="F17" s="113"/>
      <c r="G17" s="113"/>
      <c r="H17" s="245"/>
    </row>
    <row r="18" spans="1:9" x14ac:dyDescent="0.25">
      <c r="A18" s="246" t="s">
        <v>278</v>
      </c>
      <c r="B18" s="243"/>
      <c r="C18" s="272"/>
      <c r="D18" s="272"/>
      <c r="E18" s="272"/>
      <c r="F18" s="272"/>
      <c r="G18" s="272"/>
      <c r="H18" s="245"/>
    </row>
    <row r="19" spans="1:9" x14ac:dyDescent="0.25">
      <c r="A19" s="250" t="s">
        <v>14</v>
      </c>
      <c r="B19" s="251">
        <f>-'2. Input'!D8*'Input (raw)'!$D$58</f>
        <v>423.09146800000008</v>
      </c>
      <c r="C19" s="273">
        <v>405.520084</v>
      </c>
      <c r="D19" s="273">
        <f>-'2. Input'!F8*'Input (raw)'!$D$58</f>
        <v>447.79524564445381</v>
      </c>
      <c r="E19" s="273">
        <f>-'2. Input'!G8*'Input (raw)'!$D$58</f>
        <v>975.51026915208115</v>
      </c>
      <c r="F19" s="273">
        <f>-'2. Input'!H8*'Input (raw)'!$D$58</f>
        <v>974.81000340237733</v>
      </c>
      <c r="G19" s="273">
        <f>-'2. Input'!I8*'Input (raw)'!$D$58</f>
        <v>980.8638559696891</v>
      </c>
      <c r="H19" s="275">
        <f>-'2. Input'!J8*'Input (raw)'!$D$58</f>
        <v>987.02067749052605</v>
      </c>
    </row>
    <row r="20" spans="1:9" x14ac:dyDescent="0.25">
      <c r="A20" s="151" t="s">
        <v>279</v>
      </c>
      <c r="B20" s="244"/>
      <c r="C20" s="271"/>
      <c r="D20" s="271"/>
      <c r="E20" s="271"/>
      <c r="F20" s="271"/>
      <c r="G20" s="271"/>
      <c r="H20" s="252"/>
    </row>
    <row r="21" spans="1:9" x14ac:dyDescent="0.25">
      <c r="A21" s="151" t="s">
        <v>16</v>
      </c>
      <c r="B21" s="243"/>
      <c r="C21" s="272"/>
      <c r="D21" s="272"/>
      <c r="E21" s="272"/>
      <c r="F21" s="272"/>
      <c r="G21" s="272"/>
      <c r="H21" s="152"/>
    </row>
    <row r="22" spans="1:9" x14ac:dyDescent="0.25">
      <c r="A22" s="157" t="s">
        <v>280</v>
      </c>
      <c r="B22" s="279">
        <v>43.361400189214798</v>
      </c>
      <c r="C22" s="280">
        <v>43.361400189214798</v>
      </c>
      <c r="D22" s="280">
        <v>43.361400189214798</v>
      </c>
      <c r="E22" s="280">
        <v>43.361400189214798</v>
      </c>
      <c r="F22" s="280">
        <v>43.361400189214798</v>
      </c>
      <c r="G22" s="280">
        <v>43.361400189214798</v>
      </c>
      <c r="H22" s="281">
        <v>43.361400189214798</v>
      </c>
    </row>
    <row r="23" spans="1:9" x14ac:dyDescent="0.25">
      <c r="A23" s="151" t="s">
        <v>363</v>
      </c>
      <c r="B23" s="424">
        <v>0.7</v>
      </c>
      <c r="C23" s="424">
        <v>0.7</v>
      </c>
      <c r="D23" s="424">
        <v>0.7</v>
      </c>
      <c r="E23" s="424">
        <v>0.7</v>
      </c>
      <c r="F23" s="424">
        <f>E23</f>
        <v>0.7</v>
      </c>
      <c r="G23" s="424">
        <f>F23</f>
        <v>0.7</v>
      </c>
      <c r="H23" s="424">
        <f>G23</f>
        <v>0.7</v>
      </c>
      <c r="I23" s="249" t="s">
        <v>361</v>
      </c>
    </row>
    <row r="24" spans="1:9" x14ac:dyDescent="0.25">
      <c r="A24" s="151" t="s">
        <v>281</v>
      </c>
      <c r="B24" s="424">
        <v>0.48</v>
      </c>
      <c r="C24" s="425">
        <v>0.48</v>
      </c>
      <c r="D24" s="425">
        <v>0.48</v>
      </c>
      <c r="E24" s="425">
        <v>0.48</v>
      </c>
      <c r="F24" s="425">
        <v>0.48</v>
      </c>
      <c r="G24" s="425">
        <v>0.48</v>
      </c>
      <c r="H24" s="426">
        <v>0.48</v>
      </c>
    </row>
    <row r="25" spans="1:9" x14ac:dyDescent="0.25">
      <c r="A25" s="176" t="s">
        <v>282</v>
      </c>
      <c r="B25" s="427">
        <f t="shared" ref="B25:G25" si="0">1-B24</f>
        <v>0.52</v>
      </c>
      <c r="C25" s="428">
        <f t="shared" si="0"/>
        <v>0.52</v>
      </c>
      <c r="D25" s="428">
        <f t="shared" si="0"/>
        <v>0.52</v>
      </c>
      <c r="E25" s="428">
        <f t="shared" si="0"/>
        <v>0.52</v>
      </c>
      <c r="F25" s="428">
        <f t="shared" si="0"/>
        <v>0.52</v>
      </c>
      <c r="G25" s="428">
        <f t="shared" si="0"/>
        <v>0.52</v>
      </c>
      <c r="H25" s="429">
        <f t="shared" ref="H25" si="1">1-H24</f>
        <v>0.52</v>
      </c>
    </row>
    <row r="26" spans="1:9" x14ac:dyDescent="0.25">
      <c r="A26" s="176" t="s">
        <v>283</v>
      </c>
      <c r="B26" s="253">
        <f t="shared" ref="B26:G26" si="2">B24*B22</f>
        <v>20.813472090823101</v>
      </c>
      <c r="C26" s="274">
        <f t="shared" si="2"/>
        <v>20.813472090823101</v>
      </c>
      <c r="D26" s="274">
        <f t="shared" si="2"/>
        <v>20.813472090823101</v>
      </c>
      <c r="E26" s="274">
        <f t="shared" si="2"/>
        <v>20.813472090823101</v>
      </c>
      <c r="F26" s="274">
        <f t="shared" si="2"/>
        <v>20.813472090823101</v>
      </c>
      <c r="G26" s="274">
        <f t="shared" si="2"/>
        <v>20.813472090823101</v>
      </c>
      <c r="H26" s="182">
        <f t="shared" ref="H26" si="3">H24*H22</f>
        <v>20.813472090823101</v>
      </c>
    </row>
    <row r="27" spans="1:9" x14ac:dyDescent="0.25">
      <c r="A27" s="176" t="s">
        <v>284</v>
      </c>
      <c r="B27" s="253">
        <f t="shared" ref="B27:G27" si="4">B25*B22</f>
        <v>22.547928098391697</v>
      </c>
      <c r="C27" s="274">
        <f t="shared" si="4"/>
        <v>22.547928098391697</v>
      </c>
      <c r="D27" s="274">
        <f t="shared" si="4"/>
        <v>22.547928098391697</v>
      </c>
      <c r="E27" s="274">
        <f t="shared" si="4"/>
        <v>22.547928098391697</v>
      </c>
      <c r="F27" s="274">
        <f t="shared" si="4"/>
        <v>22.547928098391697</v>
      </c>
      <c r="G27" s="274">
        <f t="shared" si="4"/>
        <v>22.547928098391697</v>
      </c>
      <c r="H27" s="182">
        <f t="shared" ref="H27" si="5">H25*H22</f>
        <v>22.547928098391697</v>
      </c>
    </row>
    <row r="28" spans="1:9" x14ac:dyDescent="0.25">
      <c r="A28" s="176" t="s">
        <v>285</v>
      </c>
      <c r="B28" s="253">
        <f t="shared" ref="B28" si="6">B26*1/3+B27*1/3</f>
        <v>14.453800063071601</v>
      </c>
      <c r="C28" s="274">
        <v>12.2741692075518</v>
      </c>
      <c r="D28" s="274">
        <v>12.2741692075518</v>
      </c>
      <c r="E28" s="274">
        <v>12.2741692075518</v>
      </c>
      <c r="F28" s="274">
        <v>12.2741692075518</v>
      </c>
      <c r="G28" s="274">
        <v>12.2741692075518</v>
      </c>
      <c r="H28" s="182">
        <v>12.2741692075518</v>
      </c>
    </row>
    <row r="29" spans="1:9" x14ac:dyDescent="0.25">
      <c r="A29" s="176" t="s">
        <v>360</v>
      </c>
      <c r="B29" s="253">
        <v>88.042956520896993</v>
      </c>
      <c r="C29" s="274">
        <v>75.191716137240107</v>
      </c>
      <c r="D29" s="274"/>
      <c r="E29" s="274"/>
      <c r="F29" s="274"/>
      <c r="G29" s="274"/>
      <c r="H29" s="182"/>
    </row>
    <row r="30" spans="1:9" x14ac:dyDescent="0.25">
      <c r="A30" s="254" t="s">
        <v>286</v>
      </c>
      <c r="B30" s="253">
        <f>B19-B28-B29</f>
        <v>320.59471141603149</v>
      </c>
      <c r="C30" s="274">
        <f t="shared" ref="C30:H30" si="7">C19-C28-C29</f>
        <v>318.0541986552081</v>
      </c>
      <c r="D30" s="274">
        <f t="shared" si="7"/>
        <v>435.52107643690204</v>
      </c>
      <c r="E30" s="274">
        <f t="shared" si="7"/>
        <v>963.23609994452931</v>
      </c>
      <c r="F30" s="274">
        <f t="shared" si="7"/>
        <v>962.5358341948255</v>
      </c>
      <c r="G30" s="274">
        <f t="shared" si="7"/>
        <v>968.58968676213726</v>
      </c>
      <c r="H30" s="182">
        <f t="shared" si="7"/>
        <v>974.74650828297422</v>
      </c>
    </row>
    <row r="31" spans="1:9" x14ac:dyDescent="0.25">
      <c r="A31" s="255" t="s">
        <v>353</v>
      </c>
      <c r="B31" s="243">
        <f t="shared" ref="B31:G31" si="8">B30*B23</f>
        <v>224.41629799122202</v>
      </c>
      <c r="C31" s="243">
        <f t="shared" si="8"/>
        <v>222.63793905864566</v>
      </c>
      <c r="D31" s="243">
        <f t="shared" si="8"/>
        <v>304.8647535058314</v>
      </c>
      <c r="E31" s="243">
        <f t="shared" si="8"/>
        <v>674.26526996117047</v>
      </c>
      <c r="F31" s="243">
        <f t="shared" si="8"/>
        <v>673.77508393637777</v>
      </c>
      <c r="G31" s="243">
        <f t="shared" si="8"/>
        <v>678.01278073349602</v>
      </c>
      <c r="H31" s="182">
        <f t="shared" ref="H31" si="9">H30*H23</f>
        <v>682.32255579808191</v>
      </c>
    </row>
    <row r="32" spans="1:9" x14ac:dyDescent="0.25">
      <c r="A32" s="255" t="s">
        <v>364</v>
      </c>
      <c r="B32" s="243">
        <f t="shared" ref="B32:G32" si="10">B30*(1-B23)</f>
        <v>96.178413424809463</v>
      </c>
      <c r="C32" s="243">
        <f t="shared" si="10"/>
        <v>95.41625959656244</v>
      </c>
      <c r="D32" s="243">
        <f t="shared" si="10"/>
        <v>130.65632293107063</v>
      </c>
      <c r="E32" s="243">
        <f t="shared" si="10"/>
        <v>288.97082998335884</v>
      </c>
      <c r="F32" s="243">
        <f t="shared" si="10"/>
        <v>288.76075025844767</v>
      </c>
      <c r="G32" s="243">
        <f t="shared" si="10"/>
        <v>290.57690602864125</v>
      </c>
      <c r="H32" s="182">
        <f>H30*(1-H23)</f>
        <v>292.42395248489231</v>
      </c>
    </row>
    <row r="33" spans="1:8" x14ac:dyDescent="0.25">
      <c r="A33" s="176"/>
      <c r="B33" s="253"/>
      <c r="C33" s="274"/>
      <c r="D33" s="274"/>
      <c r="E33" s="274"/>
      <c r="F33" s="274"/>
      <c r="G33" s="274"/>
      <c r="H33" s="182"/>
    </row>
    <row r="34" spans="1:8" x14ac:dyDescent="0.25">
      <c r="A34" s="172" t="s">
        <v>287</v>
      </c>
      <c r="B34" s="388"/>
      <c r="C34" s="389"/>
      <c r="D34" s="113"/>
      <c r="E34" s="113"/>
      <c r="F34" s="113"/>
      <c r="G34" s="113"/>
      <c r="H34" s="245"/>
    </row>
    <row r="35" spans="1:8" x14ac:dyDescent="0.25">
      <c r="A35" s="172" t="s">
        <v>288</v>
      </c>
      <c r="B35" s="424">
        <v>1</v>
      </c>
      <c r="C35" s="424">
        <v>1</v>
      </c>
      <c r="D35" s="424">
        <v>1</v>
      </c>
      <c r="E35" s="424">
        <v>1</v>
      </c>
      <c r="F35" s="424">
        <v>1</v>
      </c>
      <c r="G35" s="424">
        <v>1</v>
      </c>
      <c r="H35" s="424">
        <v>1</v>
      </c>
    </row>
    <row r="36" spans="1:8" x14ac:dyDescent="0.25">
      <c r="A36" s="176" t="s">
        <v>289</v>
      </c>
      <c r="B36" s="424">
        <v>0.5</v>
      </c>
      <c r="C36" s="424">
        <v>0.5</v>
      </c>
      <c r="D36" s="424">
        <v>0.5</v>
      </c>
      <c r="E36" s="424">
        <v>0.5</v>
      </c>
      <c r="F36" s="424">
        <v>0.5</v>
      </c>
      <c r="G36" s="424">
        <v>0.5</v>
      </c>
      <c r="H36" s="424">
        <v>0.5</v>
      </c>
    </row>
    <row r="37" spans="1:8" x14ac:dyDescent="0.25">
      <c r="A37" s="176" t="s">
        <v>290</v>
      </c>
      <c r="B37" s="243">
        <f t="shared" ref="B37:G37" si="11">B36*(B31+B20)</f>
        <v>112.20814899561101</v>
      </c>
      <c r="C37" s="243">
        <f t="shared" si="11"/>
        <v>111.31896952932283</v>
      </c>
      <c r="D37" s="243">
        <f t="shared" si="11"/>
        <v>152.4323767529157</v>
      </c>
      <c r="E37" s="243">
        <f t="shared" si="11"/>
        <v>337.13263498058524</v>
      </c>
      <c r="F37" s="243">
        <f t="shared" si="11"/>
        <v>336.88754196818888</v>
      </c>
      <c r="G37" s="243">
        <f t="shared" si="11"/>
        <v>339.00639036674801</v>
      </c>
      <c r="H37" s="243">
        <f t="shared" ref="H37" si="12">H36*(H31+H20)</f>
        <v>341.16127789904095</v>
      </c>
    </row>
    <row r="38" spans="1:8" ht="15.75" thickBot="1" x14ac:dyDescent="0.3">
      <c r="A38" s="256" t="s">
        <v>291</v>
      </c>
      <c r="B38" s="257">
        <f t="shared" ref="B38:G38" si="13">(B31+B20)-B37</f>
        <v>112.20814899561101</v>
      </c>
      <c r="C38" s="257">
        <f t="shared" si="13"/>
        <v>111.31896952932283</v>
      </c>
      <c r="D38" s="257">
        <f t="shared" si="13"/>
        <v>152.4323767529157</v>
      </c>
      <c r="E38" s="257">
        <f t="shared" si="13"/>
        <v>337.13263498058524</v>
      </c>
      <c r="F38" s="257">
        <f t="shared" si="13"/>
        <v>336.88754196818888</v>
      </c>
      <c r="G38" s="257">
        <f t="shared" si="13"/>
        <v>339.00639036674801</v>
      </c>
      <c r="H38" s="257">
        <f>(H31+H20)-H37</f>
        <v>341.16127789904095</v>
      </c>
    </row>
    <row r="40" spans="1:8" ht="15.75" thickBot="1" x14ac:dyDescent="0.3"/>
    <row r="41" spans="1:8" ht="15" customHeight="1" x14ac:dyDescent="0.25">
      <c r="A41" s="443" t="s">
        <v>292</v>
      </c>
      <c r="B41" s="444"/>
      <c r="C41" s="444"/>
      <c r="D41" s="444"/>
      <c r="E41" s="444"/>
      <c r="F41" s="444"/>
      <c r="G41" s="444"/>
      <c r="H41" s="445"/>
    </row>
    <row r="42" spans="1:8" ht="56.25" customHeight="1" thickBot="1" x14ac:dyDescent="0.3">
      <c r="A42" s="446"/>
      <c r="B42" s="447"/>
      <c r="C42" s="447"/>
      <c r="D42" s="447"/>
      <c r="E42" s="447"/>
      <c r="F42" s="447"/>
      <c r="G42" s="447"/>
      <c r="H42" s="448"/>
    </row>
    <row r="45" spans="1:8" customFormat="1" x14ac:dyDescent="0.25"/>
    <row r="46" spans="1:8" customFormat="1" x14ac:dyDescent="0.25"/>
    <row r="47" spans="1:8" customFormat="1" x14ac:dyDescent="0.25"/>
    <row r="48" spans="1:8" customFormat="1" x14ac:dyDescent="0.25"/>
    <row r="49" customFormat="1" x14ac:dyDescent="0.25"/>
    <row r="50" customFormat="1" x14ac:dyDescent="0.25"/>
    <row r="51" customFormat="1" x14ac:dyDescent="0.25"/>
    <row r="52" customFormat="1" x14ac:dyDescent="0.25"/>
    <row r="53" customFormat="1" x14ac:dyDescent="0.25"/>
  </sheetData>
  <mergeCells count="1">
    <mergeCell ref="A41:H42"/>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2:L108"/>
  <sheetViews>
    <sheetView showGridLines="0" workbookViewId="0"/>
  </sheetViews>
  <sheetFormatPr defaultColWidth="8.7109375" defaultRowHeight="15" x14ac:dyDescent="0.25"/>
  <cols>
    <col min="1" max="1" width="8.7109375" style="285"/>
    <col min="2" max="2" width="29.28515625" style="285" customWidth="1"/>
    <col min="3" max="3" width="8.7109375" style="285"/>
    <col min="4" max="4" width="16.140625" style="285" customWidth="1"/>
    <col min="5" max="6" width="17" style="285" customWidth="1"/>
    <col min="7" max="7" width="16.5703125" style="285" customWidth="1"/>
    <col min="8" max="8" width="17.42578125" style="285" customWidth="1"/>
    <col min="9" max="16384" width="8.7109375" style="285"/>
  </cols>
  <sheetData>
    <row r="2" spans="2:7" ht="31.5" x14ac:dyDescent="0.5">
      <c r="B2" s="362" t="s">
        <v>58</v>
      </c>
    </row>
    <row r="3" spans="2:7" ht="15" customHeight="1" x14ac:dyDescent="0.25">
      <c r="B3" s="449" t="s">
        <v>331</v>
      </c>
      <c r="C3" s="449"/>
      <c r="D3" s="449"/>
      <c r="E3" s="449"/>
      <c r="F3" s="449"/>
    </row>
    <row r="4" spans="2:7" x14ac:dyDescent="0.25">
      <c r="B4" s="449"/>
      <c r="C4" s="449"/>
      <c r="D4" s="449"/>
      <c r="E4" s="449"/>
      <c r="F4" s="449"/>
    </row>
    <row r="5" spans="2:7" ht="15.75" customHeight="1" x14ac:dyDescent="0.25">
      <c r="B5" s="449"/>
      <c r="C5" s="449"/>
      <c r="D5" s="449"/>
      <c r="E5" s="449"/>
      <c r="F5" s="449"/>
    </row>
    <row r="7" spans="2:7" x14ac:dyDescent="0.25">
      <c r="B7" s="363"/>
      <c r="C7" s="363"/>
      <c r="D7" s="363"/>
      <c r="E7" s="363"/>
      <c r="F7" s="363"/>
    </row>
    <row r="8" spans="2:7" ht="18.75" x14ac:dyDescent="0.3">
      <c r="B8" s="364" t="s">
        <v>75</v>
      </c>
    </row>
    <row r="10" spans="2:7" x14ac:dyDescent="0.25">
      <c r="B10" s="314" t="s">
        <v>59</v>
      </c>
      <c r="C10" s="314"/>
      <c r="D10" s="314" t="s">
        <v>60</v>
      </c>
      <c r="E10" s="314" t="s">
        <v>61</v>
      </c>
      <c r="F10" s="365" t="s">
        <v>332</v>
      </c>
    </row>
    <row r="11" spans="2:7" x14ac:dyDescent="0.25">
      <c r="B11" s="366" t="s">
        <v>318</v>
      </c>
      <c r="C11" s="366" t="s">
        <v>64</v>
      </c>
      <c r="D11" s="367">
        <f>'1. CWD_CAA_cap_20'!N76*10^6/(10^3)</f>
        <v>23.705934312123112</v>
      </c>
      <c r="E11" s="367">
        <f>'2. CAA_cap_UniformTarif_20'!K$77</f>
        <v>23.540166179463959</v>
      </c>
      <c r="F11" s="367">
        <f>'3. CAA_cap_20Tarif'!K78</f>
        <v>23.769034489543376</v>
      </c>
    </row>
    <row r="12" spans="2:7" x14ac:dyDescent="0.25">
      <c r="B12" s="366" t="s">
        <v>65</v>
      </c>
      <c r="C12" s="366" t="s">
        <v>66</v>
      </c>
      <c r="D12" s="367">
        <f>'1. CWD_CAA_cap_20'!N75*10^6/(10^3)</f>
        <v>37.918539126543557</v>
      </c>
      <c r="E12" s="367">
        <f>'2. CAA_cap_UniformTarif_20'!K$77</f>
        <v>23.540166179463959</v>
      </c>
      <c r="F12" s="367">
        <f>'3. CAA_cap_20Tarif'!K78</f>
        <v>23.769034489543376</v>
      </c>
      <c r="G12" s="368"/>
    </row>
    <row r="13" spans="2:7" x14ac:dyDescent="0.25">
      <c r="B13" s="366" t="s">
        <v>67</v>
      </c>
      <c r="C13" s="366" t="s">
        <v>68</v>
      </c>
      <c r="D13" s="367">
        <f>'1. CWD_CAA_cap_20'!N74*10^6/(10^3)</f>
        <v>21.999689219934492</v>
      </c>
      <c r="E13" s="367">
        <f>'2. CAA_cap_UniformTarif_20'!K$77</f>
        <v>23.540166179463959</v>
      </c>
      <c r="F13" s="367">
        <f>'3. CAA_cap_20Tarif'!K77</f>
        <v>19.127533478057213</v>
      </c>
    </row>
    <row r="14" spans="2:7" x14ac:dyDescent="0.25">
      <c r="B14" s="366"/>
      <c r="C14" s="366"/>
      <c r="D14" s="367"/>
      <c r="E14" s="367"/>
      <c r="F14" s="367"/>
    </row>
    <row r="15" spans="2:7" x14ac:dyDescent="0.25">
      <c r="B15" s="366" t="s">
        <v>69</v>
      </c>
      <c r="C15" s="366" t="s">
        <v>70</v>
      </c>
      <c r="D15" s="367">
        <f>'1. CWD_CAA_cap_20'!N63*10^6/(10^3)</f>
        <v>19.911777428806211</v>
      </c>
      <c r="E15" s="367">
        <f>'2. CAA_cap_UniformTarif_20'!K$77</f>
        <v>23.540166179463959</v>
      </c>
      <c r="F15" s="367">
        <f>'3. CAA_cap_20Tarif'!K76</f>
        <v>19.127533478057213</v>
      </c>
    </row>
    <row r="16" spans="2:7" x14ac:dyDescent="0.25">
      <c r="B16" s="366" t="s">
        <v>71</v>
      </c>
      <c r="C16" s="366" t="s">
        <v>68</v>
      </c>
      <c r="D16" s="367">
        <f>'1. CWD_CAA_cap_20'!N65*10^6/(10^3)</f>
        <v>24.789637787834462</v>
      </c>
      <c r="E16" s="367">
        <f>'2. CAA_cap_UniformTarif_20'!K$77</f>
        <v>23.540166179463959</v>
      </c>
      <c r="F16" s="367">
        <f>'3. CAA_cap_20Tarif'!K75</f>
        <v>24.029321563294825</v>
      </c>
    </row>
    <row r="17" spans="2:12" x14ac:dyDescent="0.25">
      <c r="B17" s="366" t="s">
        <v>349</v>
      </c>
      <c r="C17" s="366" t="s">
        <v>73</v>
      </c>
      <c r="D17" s="367">
        <f>'1. CWD_CAA_cap_20'!N64*10^6/(10^3)</f>
        <v>12.258118031818382</v>
      </c>
      <c r="E17" s="367">
        <f>'2. CAA_cap_UniformTarif_20'!K$77</f>
        <v>23.540166179463959</v>
      </c>
      <c r="F17" s="367">
        <f>'3. CAA_cap_20Tarif'!K76</f>
        <v>19.127533478057213</v>
      </c>
    </row>
    <row r="18" spans="2:12" x14ac:dyDescent="0.25">
      <c r="B18" s="369"/>
      <c r="C18" s="369"/>
      <c r="D18" s="369"/>
      <c r="E18" s="369"/>
      <c r="F18" s="370"/>
    </row>
    <row r="19" spans="2:12" x14ac:dyDescent="0.25">
      <c r="B19" s="371" t="s">
        <v>74</v>
      </c>
      <c r="C19" s="369"/>
      <c r="D19" s="370">
        <f>'4. CAA_comm_20'!C$65</f>
        <v>2.4083454416368622E-3</v>
      </c>
      <c r="E19" s="370">
        <f>'4. CAA_comm_20'!D$65</f>
        <v>2.4083454416368622E-3</v>
      </c>
      <c r="F19" s="370">
        <f>'4. CAA_comm_20'!E$65</f>
        <v>2.4083454416368622E-3</v>
      </c>
    </row>
    <row r="20" spans="2:12" x14ac:dyDescent="0.25">
      <c r="B20" s="450" t="s">
        <v>333</v>
      </c>
      <c r="C20" s="450"/>
      <c r="D20" s="450"/>
      <c r="E20" s="450"/>
      <c r="F20" s="450"/>
    </row>
    <row r="21" spans="2:12" x14ac:dyDescent="0.25">
      <c r="B21" s="451"/>
      <c r="C21" s="451"/>
      <c r="D21" s="451"/>
      <c r="E21" s="451"/>
      <c r="F21" s="451"/>
    </row>
    <row r="22" spans="2:12" ht="18.75" x14ac:dyDescent="0.3">
      <c r="B22" s="364" t="s">
        <v>302</v>
      </c>
      <c r="F22" s="372"/>
    </row>
    <row r="23" spans="2:12" x14ac:dyDescent="0.25">
      <c r="F23" s="372"/>
    </row>
    <row r="24" spans="2:12" x14ac:dyDescent="0.25">
      <c r="B24" s="314" t="s">
        <v>59</v>
      </c>
      <c r="C24" s="314"/>
      <c r="D24" s="314" t="s">
        <v>60</v>
      </c>
      <c r="E24" s="314" t="s">
        <v>61</v>
      </c>
      <c r="F24" s="365" t="s">
        <v>62</v>
      </c>
    </row>
    <row r="25" spans="2:12" x14ac:dyDescent="0.25">
      <c r="B25" s="366" t="s">
        <v>318</v>
      </c>
      <c r="C25" s="366" t="s">
        <v>64</v>
      </c>
      <c r="D25" s="373">
        <f>'6. CWD_CAA_cap_21'!N75*10^6/(10^3)</f>
        <v>29.817563315069808</v>
      </c>
      <c r="E25" s="373">
        <f>'10. Current tariff method 21'!B$20</f>
        <v>27.162005226836765</v>
      </c>
      <c r="F25" s="373">
        <f>'9. CAA_cap_21_currentTariff'!K78</f>
        <v>29.509020749810716</v>
      </c>
    </row>
    <row r="26" spans="2:12" x14ac:dyDescent="0.25">
      <c r="B26" s="366" t="s">
        <v>65</v>
      </c>
      <c r="C26" s="366" t="s">
        <v>66</v>
      </c>
      <c r="D26" s="373">
        <f>'6. CWD_CAA_cap_21'!N74*10^6/(10^3)</f>
        <v>48.206193373988633</v>
      </c>
      <c r="E26" s="373">
        <f>'10. Current tariff method 21'!B$20</f>
        <v>27.162005226836765</v>
      </c>
      <c r="F26" s="373">
        <f>'9. CAA_cap_21_currentTariff'!K78</f>
        <v>29.509020749810716</v>
      </c>
    </row>
    <row r="27" spans="2:12" x14ac:dyDescent="0.25">
      <c r="B27" s="366" t="s">
        <v>67</v>
      </c>
      <c r="C27" s="366" t="s">
        <v>68</v>
      </c>
      <c r="D27" s="373">
        <f>'6. CWD_CAA_cap_21'!N73*10^6/(10^3)</f>
        <v>28.219389928614774</v>
      </c>
      <c r="E27" s="373">
        <f>'10. Current tariff method 21'!B$20</f>
        <v>27.162005226836765</v>
      </c>
      <c r="F27" s="373">
        <f>'9. CAA_cap_21_currentTariff'!K77</f>
        <v>23.6352550734643</v>
      </c>
    </row>
    <row r="28" spans="2:12" x14ac:dyDescent="0.25">
      <c r="B28" s="366"/>
      <c r="C28" s="366"/>
      <c r="D28" s="373"/>
      <c r="E28" s="373"/>
      <c r="F28" s="373"/>
    </row>
    <row r="29" spans="2:12" x14ac:dyDescent="0.25">
      <c r="B29" s="366" t="s">
        <v>69</v>
      </c>
      <c r="C29" s="366" t="s">
        <v>70</v>
      </c>
      <c r="D29" s="373">
        <f>'6. CWD_CAA_cap_21'!N62*10^6/(10^3)</f>
        <v>21.726029800891528</v>
      </c>
      <c r="E29" s="373">
        <f>'10. Current tariff method 21'!B$20</f>
        <v>27.162005226836765</v>
      </c>
      <c r="F29" s="373">
        <f>'9. CAA_cap_21_currentTariff'!K76</f>
        <v>23.6352550734643</v>
      </c>
    </row>
    <row r="30" spans="2:12" x14ac:dyDescent="0.25">
      <c r="B30" s="366" t="s">
        <v>71</v>
      </c>
      <c r="C30" s="366" t="s">
        <v>68</v>
      </c>
      <c r="D30" s="373">
        <f>'6. CWD_CAA_cap_21'!N64*10^6/(10^3)</f>
        <v>27.252558245473679</v>
      </c>
      <c r="E30" s="373">
        <f>'10. Current tariff method 21'!B$20</f>
        <v>27.162005226836765</v>
      </c>
      <c r="F30" s="373">
        <f>'9. CAA_cap_21_currentTariff'!K75</f>
        <v>25.569353455904643</v>
      </c>
    </row>
    <row r="31" spans="2:12" x14ac:dyDescent="0.25">
      <c r="B31" s="366" t="s">
        <v>349</v>
      </c>
      <c r="C31" s="366" t="s">
        <v>73</v>
      </c>
      <c r="D31" s="373">
        <f>'6. CWD_CAA_cap_21'!N63*10^6/(10^3)</f>
        <v>13.054570572978049</v>
      </c>
      <c r="E31" s="373">
        <f>'10. Current tariff method 21'!B$20</f>
        <v>27.162005226836765</v>
      </c>
      <c r="F31" s="373">
        <f>'9. CAA_cap_21_currentTariff'!K76</f>
        <v>23.6352550734643</v>
      </c>
    </row>
    <row r="32" spans="2:12" x14ac:dyDescent="0.25">
      <c r="B32" s="369"/>
      <c r="C32" s="369"/>
      <c r="D32" s="374"/>
      <c r="E32" s="374"/>
      <c r="F32" s="374"/>
      <c r="L32" s="375"/>
    </row>
    <row r="33" spans="2:6" x14ac:dyDescent="0.25">
      <c r="B33" s="371" t="s">
        <v>74</v>
      </c>
      <c r="C33" s="369"/>
      <c r="D33" s="370">
        <f>'7. CAA_comm_21'!C$66</f>
        <v>2.9086790294803257E-3</v>
      </c>
      <c r="E33" s="370">
        <f>'7. CAA_comm_21'!D$66</f>
        <v>2.9086790294803257E-3</v>
      </c>
      <c r="F33" s="370">
        <f>'7. CAA_comm_21'!E$66</f>
        <v>2.9086790294803257E-3</v>
      </c>
    </row>
    <row r="36" spans="2:6" ht="18.75" x14ac:dyDescent="0.3">
      <c r="B36" s="364" t="s">
        <v>303</v>
      </c>
      <c r="F36" s="372"/>
    </row>
    <row r="37" spans="2:6" x14ac:dyDescent="0.25">
      <c r="F37" s="372"/>
    </row>
    <row r="38" spans="2:6" x14ac:dyDescent="0.25">
      <c r="B38" s="314" t="s">
        <v>59</v>
      </c>
      <c r="C38" s="314"/>
      <c r="D38" s="314" t="s">
        <v>60</v>
      </c>
      <c r="E38" s="314" t="s">
        <v>61</v>
      </c>
      <c r="F38" s="365" t="s">
        <v>62</v>
      </c>
    </row>
    <row r="39" spans="2:6" x14ac:dyDescent="0.25">
      <c r="B39" s="366" t="s">
        <v>318</v>
      </c>
      <c r="C39" s="366" t="s">
        <v>64</v>
      </c>
      <c r="D39" s="373">
        <f>'11. CWD_CAA_cap_22'!N75*10^6/(10^3)</f>
        <v>41.197911080776969</v>
      </c>
      <c r="E39" s="373">
        <f>'15. Current tariff method 22'!B$20</f>
        <v>37.128459211793576</v>
      </c>
      <c r="F39" s="373">
        <f>'14. CAA_cap_22_currentTariff'!K78</f>
        <v>39.534581167024569</v>
      </c>
    </row>
    <row r="40" spans="2:6" x14ac:dyDescent="0.25">
      <c r="B40" s="366" t="s">
        <v>65</v>
      </c>
      <c r="C40" s="366" t="s">
        <v>66</v>
      </c>
      <c r="D40" s="373">
        <f>'11. CWD_CAA_cap_22'!N74*10^6/(10^3)</f>
        <v>66.746405579457686</v>
      </c>
      <c r="E40" s="373">
        <f>'15. Current tariff method 22'!B$20</f>
        <v>37.128459211793576</v>
      </c>
      <c r="F40" s="373">
        <f>'14. CAA_cap_22_currentTariff'!K78</f>
        <v>39.534581167024569</v>
      </c>
    </row>
    <row r="41" spans="2:6" x14ac:dyDescent="0.25">
      <c r="B41" s="366" t="s">
        <v>67</v>
      </c>
      <c r="C41" s="366" t="s">
        <v>68</v>
      </c>
      <c r="D41" s="373">
        <f>'11. CWD_CAA_cap_22'!N73*10^6/(10^3)</f>
        <v>39.007635364283892</v>
      </c>
      <c r="E41" s="373">
        <f>'15. Current tariff method 22'!B$20</f>
        <v>37.128459211793576</v>
      </c>
      <c r="F41" s="373">
        <f>'14. CAA_cap_22_currentTariff'!K77</f>
        <v>33.607899226252911</v>
      </c>
    </row>
    <row r="42" spans="2:6" x14ac:dyDescent="0.25">
      <c r="B42" s="366"/>
      <c r="C42" s="366"/>
      <c r="D42" s="373"/>
      <c r="E42" s="373"/>
      <c r="F42" s="373"/>
    </row>
    <row r="43" spans="2:6" x14ac:dyDescent="0.25">
      <c r="B43" s="366" t="s">
        <v>69</v>
      </c>
      <c r="C43" s="366" t="s">
        <v>70</v>
      </c>
      <c r="D43" s="373">
        <f>'11. CWD_CAA_cap_22'!N62*10^6/(10^3)</f>
        <v>29.929754606501785</v>
      </c>
      <c r="E43" s="373">
        <f>'15. Current tariff method 22'!B$20</f>
        <v>37.128459211793576</v>
      </c>
      <c r="F43" s="373">
        <f>'14. CAA_cap_22_currentTariff'!K76</f>
        <v>33.607899226252911</v>
      </c>
    </row>
    <row r="44" spans="2:6" x14ac:dyDescent="0.25">
      <c r="B44" s="366" t="s">
        <v>71</v>
      </c>
      <c r="C44" s="366" t="s">
        <v>68</v>
      </c>
      <c r="D44" s="373">
        <f>'11. CWD_CAA_cap_22'!N64*10^6/(10^3)</f>
        <v>37.554154619016579</v>
      </c>
      <c r="E44" s="373">
        <f>'15. Current tariff method 22'!B$20</f>
        <v>37.128459211793576</v>
      </c>
      <c r="F44" s="373">
        <f>'14. CAA_cap_22_currentTariff'!K75</f>
        <v>35.592744491488908</v>
      </c>
    </row>
    <row r="45" spans="2:6" x14ac:dyDescent="0.25">
      <c r="B45" s="366" t="s">
        <v>349</v>
      </c>
      <c r="C45" s="366" t="s">
        <v>73</v>
      </c>
      <c r="D45" s="373">
        <f>'11. CWD_CAA_cap_22'!N63*10^6/(10^3)</f>
        <v>17.966607295233729</v>
      </c>
      <c r="E45" s="373">
        <f>'15. Current tariff method 22'!B$20</f>
        <v>37.128459211793576</v>
      </c>
      <c r="F45" s="373">
        <f>'14. CAA_cap_22_currentTariff'!K76</f>
        <v>33.607899226252911</v>
      </c>
    </row>
    <row r="46" spans="2:6" x14ac:dyDescent="0.25">
      <c r="B46" s="369"/>
      <c r="C46" s="369"/>
      <c r="D46" s="374"/>
      <c r="E46" s="374"/>
      <c r="F46" s="374"/>
    </row>
    <row r="47" spans="2:6" x14ac:dyDescent="0.25">
      <c r="B47" s="371" t="s">
        <v>74</v>
      </c>
      <c r="C47" s="369"/>
      <c r="D47" s="370">
        <f>'12. CAA_comm_22'!C$66</f>
        <v>3.9829407292371602E-3</v>
      </c>
      <c r="E47" s="370">
        <f>'12. CAA_comm_22'!D$66</f>
        <v>3.9829407292371602E-3</v>
      </c>
      <c r="F47" s="370">
        <f>'12. CAA_comm_22'!E$66</f>
        <v>3.9829407292371602E-3</v>
      </c>
    </row>
    <row r="49" spans="2:6" ht="18.75" x14ac:dyDescent="0.3">
      <c r="B49" s="364" t="s">
        <v>304</v>
      </c>
      <c r="F49" s="372"/>
    </row>
    <row r="50" spans="2:6" x14ac:dyDescent="0.25">
      <c r="F50" s="372"/>
    </row>
    <row r="51" spans="2:6" x14ac:dyDescent="0.25">
      <c r="B51" s="314" t="s">
        <v>59</v>
      </c>
      <c r="C51" s="314"/>
      <c r="D51" s="314" t="s">
        <v>60</v>
      </c>
      <c r="E51" s="314" t="s">
        <v>61</v>
      </c>
      <c r="F51" s="365" t="s">
        <v>62</v>
      </c>
    </row>
    <row r="52" spans="2:6" x14ac:dyDescent="0.25">
      <c r="B52" s="366" t="s">
        <v>318</v>
      </c>
      <c r="C52" s="366" t="s">
        <v>64</v>
      </c>
      <c r="D52" s="373">
        <f>'16. CWD_CAA_cap_23'!N83*10^6/(10^3)</f>
        <v>19.47256670649994</v>
      </c>
      <c r="E52" s="373">
        <f>'20. Current tariff method 23'!B$20</f>
        <v>21.508189404125371</v>
      </c>
      <c r="F52" s="373">
        <f>'18. CAA_cap_23_currentTarif'!K87</f>
        <v>26.628432051294041</v>
      </c>
    </row>
    <row r="53" spans="2:6" x14ac:dyDescent="0.25">
      <c r="B53" s="366" t="s">
        <v>65</v>
      </c>
      <c r="C53" s="366" t="s">
        <v>66</v>
      </c>
      <c r="D53" s="373">
        <f>'16. CWD_CAA_cap_23'!N82*10^6/(10^3)</f>
        <v>28.256633015811648</v>
      </c>
      <c r="E53" s="373">
        <f>'20. Current tariff method 23'!B$20</f>
        <v>21.508189404125371</v>
      </c>
      <c r="F53" s="373">
        <f>'18. CAA_cap_23_currentTarif'!K87</f>
        <v>26.628432051294041</v>
      </c>
    </row>
    <row r="54" spans="2:6" x14ac:dyDescent="0.25">
      <c r="B54" s="366" t="s">
        <v>67</v>
      </c>
      <c r="C54" s="366" t="s">
        <v>68</v>
      </c>
      <c r="D54" s="373">
        <f>'16. CWD_CAA_cap_23'!N81*10^6/(10^3)</f>
        <v>17.691460902905956</v>
      </c>
      <c r="E54" s="373">
        <f>'20. Current tariff method 23'!B$20</f>
        <v>21.508189404125371</v>
      </c>
      <c r="F54" s="373">
        <f>'18. CAA_cap_23_currentTarif'!K86</f>
        <v>20.586074375469643</v>
      </c>
    </row>
    <row r="55" spans="2:6" x14ac:dyDescent="0.25">
      <c r="B55" s="366" t="s">
        <v>76</v>
      </c>
      <c r="C55" s="366" t="s">
        <v>79</v>
      </c>
      <c r="D55" s="373">
        <f>'16. CWD_CAA_cap_23'!N85*10^6/(10^3)</f>
        <v>24.002704325144883</v>
      </c>
      <c r="E55" s="373">
        <f>'20. Current tariff method 23'!B$20</f>
        <v>21.508189404125371</v>
      </c>
      <c r="F55" s="373">
        <f>'18. CAA_cap_23_currentTarif'!K88</f>
        <v>20.586074375469643</v>
      </c>
    </row>
    <row r="56" spans="2:6" x14ac:dyDescent="0.25">
      <c r="B56" s="366"/>
      <c r="C56" s="366"/>
      <c r="D56" s="373"/>
      <c r="E56" s="373"/>
      <c r="F56" s="373"/>
    </row>
    <row r="57" spans="2:6" x14ac:dyDescent="0.25">
      <c r="B57" s="366" t="s">
        <v>69</v>
      </c>
      <c r="C57" s="366" t="s">
        <v>70</v>
      </c>
      <c r="D57" s="373">
        <f>'16. CWD_CAA_cap_23'!N68*10^6/(10^3)</f>
        <v>17.477495298342049</v>
      </c>
      <c r="E57" s="373">
        <f>'20. Current tariff method 23'!B$20</f>
        <v>21.508189404125371</v>
      </c>
      <c r="F57" s="373">
        <f>'18. CAA_cap_23_currentTarif'!K85</f>
        <v>20.586074375469643</v>
      </c>
    </row>
    <row r="58" spans="2:6" x14ac:dyDescent="0.25">
      <c r="B58" s="366" t="s">
        <v>71</v>
      </c>
      <c r="C58" s="366" t="s">
        <v>68</v>
      </c>
      <c r="D58" s="373">
        <f>'16. CWD_CAA_cap_23'!N70*10^6/(10^3)</f>
        <v>16.245826832648895</v>
      </c>
      <c r="E58" s="373">
        <f>'20. Current tariff method 23'!B$20</f>
        <v>21.508189404125371</v>
      </c>
      <c r="F58" s="373">
        <f>'18. CAA_cap_23_currentTarif'!K84</f>
        <v>23.427597791845258</v>
      </c>
    </row>
    <row r="59" spans="2:6" x14ac:dyDescent="0.25">
      <c r="B59" s="366" t="s">
        <v>349</v>
      </c>
      <c r="C59" s="366" t="s">
        <v>73</v>
      </c>
      <c r="D59" s="373">
        <f>'16. CWD_CAA_cap_23'!N69*10^6/(10^3)</f>
        <v>12.540707689961918</v>
      </c>
      <c r="E59" s="373">
        <f>'20. Current tariff method 23'!B$20</f>
        <v>21.508189404125371</v>
      </c>
      <c r="F59" s="373">
        <f>'18. CAA_cap_23_currentTarif'!K85</f>
        <v>20.586074375469643</v>
      </c>
    </row>
    <row r="60" spans="2:6" x14ac:dyDescent="0.25">
      <c r="B60" s="366" t="s">
        <v>78</v>
      </c>
      <c r="C60" s="366" t="s">
        <v>79</v>
      </c>
      <c r="D60" s="373">
        <f>'16. CWD_CAA_cap_23'!N71*10^6/(10^3)</f>
        <v>0</v>
      </c>
      <c r="E60" s="373">
        <f>'20. Current tariff method 23'!B$20</f>
        <v>21.508189404125371</v>
      </c>
      <c r="F60" s="373">
        <f>'18. CAA_cap_23_currentTarif'!K88</f>
        <v>20.586074375469643</v>
      </c>
    </row>
    <row r="61" spans="2:6" x14ac:dyDescent="0.25">
      <c r="B61" s="366" t="s">
        <v>80</v>
      </c>
      <c r="C61" s="366" t="s">
        <v>77</v>
      </c>
      <c r="D61" s="373">
        <f>'16. CWD_CAA_cap_23'!N72*10^6/(10^3)</f>
        <v>22.431665961681276</v>
      </c>
      <c r="E61" s="373">
        <f>'20. Current tariff method 23'!B$20</f>
        <v>21.508189404125371</v>
      </c>
      <c r="F61" s="373">
        <f>'18. CAA_cap_23_currentTarif'!K88</f>
        <v>20.586074375469643</v>
      </c>
    </row>
    <row r="62" spans="2:6" x14ac:dyDescent="0.25">
      <c r="B62" s="369"/>
      <c r="C62" s="369"/>
      <c r="D62" s="374"/>
      <c r="E62" s="374"/>
      <c r="F62" s="374"/>
    </row>
    <row r="63" spans="2:6" x14ac:dyDescent="0.25">
      <c r="B63" s="371" t="s">
        <v>74</v>
      </c>
      <c r="C63" s="369"/>
      <c r="D63" s="370">
        <f>'19. CAA_comm_23'!C68</f>
        <v>2.4224803050532846E-3</v>
      </c>
      <c r="E63" s="370">
        <f>'19. CAA_comm_23'!D68</f>
        <v>2.4224803050532846E-3</v>
      </c>
      <c r="F63" s="370">
        <f>'19. CAA_comm_23'!E68</f>
        <v>2.4224803050532846E-3</v>
      </c>
    </row>
    <row r="65" spans="2:6" ht="18.75" x14ac:dyDescent="0.3">
      <c r="B65" s="364" t="s">
        <v>305</v>
      </c>
      <c r="F65" s="372"/>
    </row>
    <row r="66" spans="2:6" x14ac:dyDescent="0.25">
      <c r="F66" s="372"/>
    </row>
    <row r="67" spans="2:6" x14ac:dyDescent="0.25">
      <c r="B67" s="314" t="s">
        <v>59</v>
      </c>
      <c r="C67" s="314"/>
      <c r="D67" s="314" t="s">
        <v>60</v>
      </c>
      <c r="E67" s="314" t="s">
        <v>61</v>
      </c>
      <c r="F67" s="365" t="s">
        <v>62</v>
      </c>
    </row>
    <row r="68" spans="2:6" x14ac:dyDescent="0.25">
      <c r="B68" s="366" t="s">
        <v>318</v>
      </c>
      <c r="C68" s="366" t="s">
        <v>64</v>
      </c>
      <c r="D68" s="373">
        <f>'21. CWD_CAA_cap_24'!N83*10^6/(10^3)</f>
        <v>18.613417693878542</v>
      </c>
      <c r="E68" s="373">
        <f>'25. Current tariff method 24'!B$20</f>
        <v>21.432105229475518</v>
      </c>
      <c r="F68" s="373">
        <f>'23. CAA_cap_24_currentTarif'!K87</f>
        <v>26.748239445263359</v>
      </c>
    </row>
    <row r="69" spans="2:6" x14ac:dyDescent="0.25">
      <c r="B69" s="366" t="s">
        <v>65</v>
      </c>
      <c r="C69" s="366" t="s">
        <v>66</v>
      </c>
      <c r="D69" s="373">
        <f>'21. CWD_CAA_cap_24'!N82*10^6/(10^3)</f>
        <v>27.064764242160347</v>
      </c>
      <c r="E69" s="373">
        <f>'25. Current tariff method 24'!B$20</f>
        <v>21.432105229475518</v>
      </c>
      <c r="F69" s="373">
        <f>'23. CAA_cap_24_currentTarif'!K87</f>
        <v>26.748239445263359</v>
      </c>
    </row>
    <row r="70" spans="2:6" x14ac:dyDescent="0.25">
      <c r="B70" s="366" t="s">
        <v>67</v>
      </c>
      <c r="C70" s="366" t="s">
        <v>68</v>
      </c>
      <c r="D70" s="373">
        <f>'21. CWD_CAA_cap_24'!N81*10^6/(10^3)</f>
        <v>17.001813881020865</v>
      </c>
      <c r="E70" s="373">
        <f>'25. Current tariff method 24'!B$20</f>
        <v>21.432105229475518</v>
      </c>
      <c r="F70" s="373">
        <f>'23. CAA_cap_24_currentTarif'!K86</f>
        <v>20.512583652311342</v>
      </c>
    </row>
    <row r="71" spans="2:6" x14ac:dyDescent="0.25">
      <c r="B71" s="366" t="s">
        <v>76</v>
      </c>
      <c r="C71" s="366" t="s">
        <v>79</v>
      </c>
      <c r="D71" s="373">
        <f>'21. CWD_CAA_cap_24'!N85*10^6/(10^3)</f>
        <v>23.218718246819702</v>
      </c>
      <c r="E71" s="373">
        <f>'25. Current tariff method 24'!B$20</f>
        <v>21.432105229475518</v>
      </c>
      <c r="F71" s="373">
        <f>'23. CAA_cap_24_currentTarif'!K88</f>
        <v>20.512583652311342</v>
      </c>
    </row>
    <row r="72" spans="2:6" x14ac:dyDescent="0.25">
      <c r="B72" s="366"/>
      <c r="C72" s="366"/>
      <c r="D72" s="373"/>
      <c r="E72" s="373"/>
      <c r="F72" s="373"/>
    </row>
    <row r="73" spans="2:6" x14ac:dyDescent="0.25">
      <c r="B73" s="366" t="s">
        <v>69</v>
      </c>
      <c r="C73" s="366" t="s">
        <v>70</v>
      </c>
      <c r="D73" s="373">
        <f>'21. CWD_CAA_cap_24'!N68*10^6/(10^3)</f>
        <v>17.944362148546109</v>
      </c>
      <c r="E73" s="373">
        <f>'25. Current tariff method 24'!B$20</f>
        <v>21.432105229475518</v>
      </c>
      <c r="F73" s="373">
        <f>'23. CAA_cap_24_currentTarif'!K85</f>
        <v>20.512583652311342</v>
      </c>
    </row>
    <row r="74" spans="2:6" x14ac:dyDescent="0.25">
      <c r="B74" s="366" t="s">
        <v>71</v>
      </c>
      <c r="C74" s="366" t="s">
        <v>68</v>
      </c>
      <c r="D74" s="373">
        <f>'21. CWD_CAA_cap_24'!N70*10^6/(10^3)</f>
        <v>16.830685202489001</v>
      </c>
      <c r="E74" s="373">
        <f>'25. Current tariff method 24'!B$20</f>
        <v>21.432105229475518</v>
      </c>
      <c r="F74" s="373">
        <f>'23. CAA_cap_24_currentTarif'!K84</f>
        <v>24.553737720817161</v>
      </c>
    </row>
    <row r="75" spans="2:6" x14ac:dyDescent="0.25">
      <c r="B75" s="366" t="s">
        <v>349</v>
      </c>
      <c r="C75" s="366" t="s">
        <v>73</v>
      </c>
      <c r="D75" s="373">
        <f>'21. CWD_CAA_cap_24'!N69*10^6/(10^3)</f>
        <v>12.823306462047723</v>
      </c>
      <c r="E75" s="373">
        <f>'25. Current tariff method 24'!B$20</f>
        <v>21.432105229475518</v>
      </c>
      <c r="F75" s="373">
        <f>'23. CAA_cap_24_currentTarif'!K85</f>
        <v>20.512583652311342</v>
      </c>
    </row>
    <row r="76" spans="2:6" x14ac:dyDescent="0.25">
      <c r="B76" s="366" t="s">
        <v>78</v>
      </c>
      <c r="C76" s="366" t="s">
        <v>79</v>
      </c>
      <c r="D76" s="373">
        <f>'21. CWD_CAA_cap_24'!N71*10^6/(10^3)</f>
        <v>0</v>
      </c>
      <c r="E76" s="373">
        <f>'25. Current tariff method 24'!B$20</f>
        <v>21.432105229475518</v>
      </c>
      <c r="F76" s="373">
        <f>'23. CAA_cap_24_currentTarif'!K88</f>
        <v>20.512583652311342</v>
      </c>
    </row>
    <row r="77" spans="2:6" x14ac:dyDescent="0.25">
      <c r="B77" s="366" t="s">
        <v>80</v>
      </c>
      <c r="C77" s="366" t="s">
        <v>77</v>
      </c>
      <c r="D77" s="373">
        <f>'21. CWD_CAA_cap_24'!N72*10^6/(10^3)</f>
        <v>23.083449721264557</v>
      </c>
      <c r="E77" s="373">
        <f>'25. Current tariff method 24'!B$20</f>
        <v>21.432105229475518</v>
      </c>
      <c r="F77" s="373">
        <f>'23. CAA_cap_24_currentTarif'!K88</f>
        <v>20.512583652311342</v>
      </c>
    </row>
    <row r="78" spans="2:6" x14ac:dyDescent="0.25">
      <c r="B78" s="369"/>
      <c r="C78" s="369"/>
      <c r="D78" s="374"/>
      <c r="E78" s="374"/>
      <c r="F78" s="374"/>
    </row>
    <row r="79" spans="2:6" x14ac:dyDescent="0.25">
      <c r="B79" s="371" t="s">
        <v>74</v>
      </c>
      <c r="C79" s="369"/>
      <c r="D79" s="370">
        <f>'24. CAA_comm_24'!C68</f>
        <v>2.407737600162491E-3</v>
      </c>
      <c r="E79" s="370">
        <f>'24. CAA_comm_24'!D68</f>
        <v>2.407737600162491E-3</v>
      </c>
      <c r="F79" s="370">
        <f>'24. CAA_comm_24'!E68</f>
        <v>2.407737600162491E-3</v>
      </c>
    </row>
    <row r="81" spans="2:6" ht="18.75" x14ac:dyDescent="0.3">
      <c r="B81" s="364" t="s">
        <v>306</v>
      </c>
      <c r="F81" s="372"/>
    </row>
    <row r="82" spans="2:6" x14ac:dyDescent="0.25">
      <c r="F82" s="372"/>
    </row>
    <row r="83" spans="2:6" x14ac:dyDescent="0.25">
      <c r="B83" s="314" t="s">
        <v>59</v>
      </c>
      <c r="C83" s="314"/>
      <c r="D83" s="314" t="s">
        <v>60</v>
      </c>
      <c r="E83" s="314" t="s">
        <v>61</v>
      </c>
      <c r="F83" s="365" t="s">
        <v>62</v>
      </c>
    </row>
    <row r="84" spans="2:6" x14ac:dyDescent="0.25">
      <c r="B84" s="366" t="s">
        <v>318</v>
      </c>
      <c r="C84" s="366" t="s">
        <v>64</v>
      </c>
      <c r="D84" s="373">
        <f>'26. CWD_CAA_cap_25'!N83*10^6/(10^3)</f>
        <v>18.583577915468929</v>
      </c>
      <c r="E84" s="373">
        <f>'30. Current tariff method 25'!B$20</f>
        <v>21.440922714179806</v>
      </c>
      <c r="F84" s="373">
        <f>'28. CAA_cap_25_currentTarif'!K87</f>
        <v>26.984310323427732</v>
      </c>
    </row>
    <row r="85" spans="2:6" x14ac:dyDescent="0.25">
      <c r="B85" s="366" t="s">
        <v>65</v>
      </c>
      <c r="C85" s="366" t="s">
        <v>66</v>
      </c>
      <c r="D85" s="373">
        <f>'26. CWD_CAA_cap_25'!N82*10^6/(10^3)</f>
        <v>27.034617709541031</v>
      </c>
      <c r="E85" s="373">
        <f>'30. Current tariff method 25'!B$20</f>
        <v>21.440922714179806</v>
      </c>
      <c r="F85" s="373">
        <f>'28. CAA_cap_25_currentTarif'!K87</f>
        <v>26.984310323427732</v>
      </c>
    </row>
    <row r="86" spans="2:6" x14ac:dyDescent="0.25">
      <c r="B86" s="366" t="s">
        <v>67</v>
      </c>
      <c r="C86" s="366" t="s">
        <v>68</v>
      </c>
      <c r="D86" s="373">
        <f>'26. CWD_CAA_cap_25'!N81*10^6/(10^3)</f>
        <v>16.972880018521419</v>
      </c>
      <c r="E86" s="373">
        <f>'30. Current tariff method 25'!B$20</f>
        <v>21.440922714179806</v>
      </c>
      <c r="F86" s="373">
        <f>'28. CAA_cap_25_currentTarif'!K86</f>
        <v>20.526772365145789</v>
      </c>
    </row>
    <row r="87" spans="2:6" x14ac:dyDescent="0.25">
      <c r="B87" s="366" t="s">
        <v>76</v>
      </c>
      <c r="C87" s="366" t="s">
        <v>79</v>
      </c>
      <c r="D87" s="373">
        <f>'26. CWD_CAA_cap_25'!N85*10^6/(10^3)</f>
        <v>23.241781360799536</v>
      </c>
      <c r="E87" s="373">
        <f>'30. Current tariff method 25'!B$20</f>
        <v>21.440922714179806</v>
      </c>
      <c r="F87" s="373">
        <f>'28. CAA_cap_25_currentTarif'!K88</f>
        <v>20.526772365145789</v>
      </c>
    </row>
    <row r="88" spans="2:6" x14ac:dyDescent="0.25">
      <c r="B88" s="366"/>
      <c r="C88" s="366"/>
      <c r="D88" s="373"/>
      <c r="E88" s="373"/>
      <c r="F88" s="373"/>
    </row>
    <row r="89" spans="2:6" x14ac:dyDescent="0.25">
      <c r="B89" s="366" t="s">
        <v>69</v>
      </c>
      <c r="C89" s="366" t="s">
        <v>70</v>
      </c>
      <c r="D89" s="373">
        <f>'26. CWD_CAA_cap_25'!N68*10^6/(10^3)</f>
        <v>17.994441503724669</v>
      </c>
      <c r="E89" s="373">
        <f>'30. Current tariff method 25'!B$20</f>
        <v>21.440922714179806</v>
      </c>
      <c r="F89" s="373">
        <f>'28. CAA_cap_25_currentTarif'!K85</f>
        <v>20.526772365145789</v>
      </c>
    </row>
    <row r="90" spans="2:6" x14ac:dyDescent="0.25">
      <c r="B90" s="366" t="s">
        <v>71</v>
      </c>
      <c r="C90" s="366" t="s">
        <v>68</v>
      </c>
      <c r="D90" s="373">
        <f>'26. CWD_CAA_cap_25'!N70*10^6/(10^3)</f>
        <v>16.902801797888717</v>
      </c>
      <c r="E90" s="373">
        <f>'30. Current tariff method 25'!B$20</f>
        <v>21.440922714179806</v>
      </c>
      <c r="F90" s="373">
        <f>'28. CAA_cap_25_currentTarif'!K84</f>
        <v>24.922911589464604</v>
      </c>
    </row>
    <row r="91" spans="2:6" x14ac:dyDescent="0.25">
      <c r="B91" s="366" t="s">
        <v>349</v>
      </c>
      <c r="C91" s="366" t="s">
        <v>73</v>
      </c>
      <c r="D91" s="373">
        <f>'26. CWD_CAA_cap_25'!N69*10^6/(10^3)</f>
        <v>12.844278606685355</v>
      </c>
      <c r="E91" s="373">
        <f>'30. Current tariff method 25'!B$20</f>
        <v>21.440922714179806</v>
      </c>
      <c r="F91" s="373">
        <f>'28. CAA_cap_25_currentTarif'!K85</f>
        <v>20.526772365145789</v>
      </c>
    </row>
    <row r="92" spans="2:6" x14ac:dyDescent="0.25">
      <c r="B92" s="366" t="s">
        <v>78</v>
      </c>
      <c r="C92" s="366" t="s">
        <v>79</v>
      </c>
      <c r="D92" s="373">
        <f>'26. CWD_CAA_cap_25'!N71*10^6/(10^3)</f>
        <v>0</v>
      </c>
      <c r="E92" s="373">
        <f>'30. Current tariff method 25'!B$20</f>
        <v>21.440922714179806</v>
      </c>
      <c r="F92" s="373">
        <f>'28. CAA_cap_25_currentTarif'!K88</f>
        <v>20.526772365145789</v>
      </c>
    </row>
    <row r="93" spans="2:6" x14ac:dyDescent="0.25">
      <c r="B93" s="366" t="s">
        <v>80</v>
      </c>
      <c r="C93" s="366" t="s">
        <v>77</v>
      </c>
      <c r="D93" s="373">
        <f>'26. CWD_CAA_cap_25'!N72*10^6/(10^3)</f>
        <v>23.162738777162009</v>
      </c>
      <c r="E93" s="373">
        <f>'30. Current tariff method 25'!B$20</f>
        <v>21.440922714179806</v>
      </c>
      <c r="F93" s="373">
        <f>'28. CAA_cap_25_currentTarif'!K88</f>
        <v>20.526772365145789</v>
      </c>
    </row>
    <row r="94" spans="2:6" x14ac:dyDescent="0.25">
      <c r="B94" s="369"/>
      <c r="C94" s="369"/>
      <c r="D94" s="374"/>
      <c r="E94" s="374"/>
      <c r="F94" s="374"/>
    </row>
    <row r="95" spans="2:6" x14ac:dyDescent="0.25">
      <c r="B95" s="371" t="s">
        <v>74</v>
      </c>
      <c r="C95" s="369"/>
      <c r="D95" s="370">
        <f>'29. CAA_comm_25'!C68</f>
        <v>2.3073674737834776E-3</v>
      </c>
      <c r="E95" s="370">
        <f>'29. CAA_comm_25'!D68</f>
        <v>2.3073674737834776E-3</v>
      </c>
      <c r="F95" s="370">
        <f>'29. CAA_comm_25'!E68</f>
        <v>2.3073674737834776E-3</v>
      </c>
    </row>
    <row r="98" spans="1:7" ht="18.75" x14ac:dyDescent="0.3">
      <c r="B98" s="364" t="s">
        <v>315</v>
      </c>
      <c r="F98" s="372"/>
    </row>
    <row r="99" spans="1:7" x14ac:dyDescent="0.25">
      <c r="F99" s="372"/>
    </row>
    <row r="100" spans="1:7" x14ac:dyDescent="0.25">
      <c r="B100" s="314" t="s">
        <v>81</v>
      </c>
      <c r="C100" s="314"/>
      <c r="D100" s="314" t="s">
        <v>60</v>
      </c>
      <c r="E100" s="314" t="s">
        <v>61</v>
      </c>
      <c r="F100" s="365" t="s">
        <v>62</v>
      </c>
      <c r="G100" s="365" t="s">
        <v>82</v>
      </c>
    </row>
    <row r="101" spans="1:7" x14ac:dyDescent="0.25">
      <c r="B101" s="366" t="s">
        <v>83</v>
      </c>
      <c r="C101" s="366"/>
      <c r="D101" s="376" t="s">
        <v>84</v>
      </c>
      <c r="E101" s="376" t="s">
        <v>84</v>
      </c>
      <c r="F101" s="376" t="s">
        <v>84</v>
      </c>
      <c r="G101" s="366" t="s">
        <v>85</v>
      </c>
    </row>
    <row r="102" spans="1:7" x14ac:dyDescent="0.25">
      <c r="B102" s="366" t="s">
        <v>31</v>
      </c>
      <c r="C102" s="366"/>
      <c r="D102" s="377">
        <f>'1. CWD_CAA_cap_20'!K106</f>
        <v>0.17329584485040947</v>
      </c>
      <c r="E102" s="377">
        <f>'2. CAA_cap_UniformTarif_20'!K106</f>
        <v>1.754522830243625E-3</v>
      </c>
      <c r="F102" s="377">
        <f>'3. CAA_cap_20Tarif'!K106</f>
        <v>6.994158737947892E-2</v>
      </c>
      <c r="G102" s="377">
        <f>'4. CAA_comm_20'!K99</f>
        <v>0.13646613586815109</v>
      </c>
    </row>
    <row r="103" spans="1:7" x14ac:dyDescent="0.25">
      <c r="B103" s="366" t="s">
        <v>32</v>
      </c>
      <c r="C103" s="366"/>
      <c r="D103" s="377">
        <f>'6. CWD_CAA_cap_21'!K105</f>
        <v>0.2825833799685773</v>
      </c>
      <c r="E103" s="377">
        <f>'8. CAA_cap_UniformTarif_21'!K106</f>
        <v>4.5529719316431044E-2</v>
      </c>
      <c r="F103" s="377">
        <f>'9. CAA_cap_21_currentTariff'!K106</f>
        <v>8.9923924911000375E-3</v>
      </c>
      <c r="G103" s="377">
        <f>'7. CAA_comm_21'!K100</f>
        <v>0.47799272672277876</v>
      </c>
    </row>
    <row r="104" spans="1:7" x14ac:dyDescent="0.25">
      <c r="B104" s="366" t="s">
        <v>33</v>
      </c>
      <c r="C104" s="366"/>
      <c r="D104" s="377">
        <f>'11. CWD_CAA_cap_22'!K105</f>
        <v>0.28563453905901914</v>
      </c>
      <c r="E104" s="377">
        <f>'13. CAA_cap_UniformTarif_22'!K106</f>
        <v>4.1181182098071006E-2</v>
      </c>
      <c r="F104" s="377">
        <f>'14. CAA_cap_22_currentTariff'!K106</f>
        <v>1.5101557583558441E-2</v>
      </c>
      <c r="G104" s="377">
        <f>'12. CAA_comm_22'!K100</f>
        <v>0.47085506738626842</v>
      </c>
    </row>
    <row r="105" spans="1:7" x14ac:dyDescent="0.25">
      <c r="B105" s="366" t="s">
        <v>34</v>
      </c>
      <c r="C105" s="366"/>
      <c r="D105" s="377">
        <f>'16. CWD_CAA_cap_23'!K118</f>
        <v>4.7423733625039613E-2</v>
      </c>
      <c r="E105" s="377">
        <f>'17. CAA_cap_UniformTarif_23'!K114</f>
        <v>6.3605764136805146E-2</v>
      </c>
      <c r="F105" s="377">
        <f>'18. CAA_cap_23_currentTarif'!K117</f>
        <v>0.15071380683549282</v>
      </c>
      <c r="G105" s="377">
        <f>'19. CAA_comm_23'!K109</f>
        <v>4.4844561242389058E-2</v>
      </c>
    </row>
    <row r="106" spans="1:7" x14ac:dyDescent="0.25">
      <c r="B106" s="366" t="s">
        <v>35</v>
      </c>
      <c r="C106" s="366"/>
      <c r="D106" s="377">
        <f>'21. CWD_CAA_cap_24'!K118</f>
        <v>4.2014637885885359E-2</v>
      </c>
      <c r="E106" s="377">
        <f>'22. CAA_cap_UniformTarif_24'!K114</f>
        <v>4.0331388434220662E-2</v>
      </c>
      <c r="F106" s="377">
        <f>'23. CAA_cap_24_currentTarif'!K117</f>
        <v>0.1359319034563862</v>
      </c>
      <c r="G106" s="377">
        <f>'24. CAA_comm_24'!K109</f>
        <v>4.1141112591185835E-3</v>
      </c>
    </row>
    <row r="107" spans="1:7" x14ac:dyDescent="0.25">
      <c r="B107" s="366" t="s">
        <v>36</v>
      </c>
      <c r="C107" s="366"/>
      <c r="D107" s="377">
        <f>'26. CWD_CAA_cap_25'!K118</f>
        <v>4.2792623319668058E-2</v>
      </c>
      <c r="E107" s="377">
        <f>'27. CAA_cap_UniformTarif_25'!K114</f>
        <v>3.5951976675118243E-2</v>
      </c>
      <c r="F107" s="377">
        <f>'28. CAA_cap_25_currentTarif'!K117</f>
        <v>0.13350200837385851</v>
      </c>
      <c r="G107" s="377">
        <f>'29. CAA_comm_25'!K109</f>
        <v>1.7730985172517654E-2</v>
      </c>
    </row>
    <row r="108" spans="1:7" x14ac:dyDescent="0.25">
      <c r="A108" s="305"/>
      <c r="B108" s="378" t="s">
        <v>316</v>
      </c>
      <c r="C108" s="379"/>
    </row>
  </sheetData>
  <sheetProtection algorithmName="SHA-512" hashValue="HXFBMq1Xyrk6DlWmL6V92w7I57oqLyK+AZPFiJPmLbngJFeSsSqvnhGyQ5I+W/MA/gfM6LcQYtMU0zK+SnMzSw==" saltValue="4/zqAdGZQaKmF/ZrjKocmw==" spinCount="100000" sheet="1" objects="1" scenarios="1" selectLockedCells="1"/>
  <mergeCells count="2">
    <mergeCell ref="B3:F5"/>
    <mergeCell ref="B20:F21"/>
  </mergeCells>
  <conditionalFormatting sqref="D102:G107">
    <cfRule type="cellIs" dxfId="49" priority="1" operator="lessThan">
      <formula>0.1</formula>
    </cfRule>
    <cfRule type="cellIs" dxfId="48" priority="2" operator="greaterThan">
      <formula>0.1</formula>
    </cfRule>
  </conditionalFormatting>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R110"/>
  <sheetViews>
    <sheetView zoomScale="90" zoomScaleNormal="90" workbookViewId="0">
      <selection activeCell="E5" sqref="E5"/>
    </sheetView>
  </sheetViews>
  <sheetFormatPr defaultColWidth="9.140625" defaultRowHeight="15" x14ac:dyDescent="0.25"/>
  <cols>
    <col min="1" max="1" width="9.140625" style="53"/>
    <col min="2" max="2" width="19.42578125" style="53" customWidth="1"/>
    <col min="3" max="3" width="14.42578125" style="53" customWidth="1"/>
    <col min="4" max="4" width="14.5703125" style="53" customWidth="1"/>
    <col min="5" max="5" width="13.42578125" style="53" customWidth="1"/>
    <col min="6" max="6" width="12.85546875" style="53" customWidth="1"/>
    <col min="7" max="7" width="12.42578125" style="53" customWidth="1"/>
    <col min="8" max="9" width="9.140625" style="53"/>
    <col min="10" max="10" width="17.85546875" style="53" customWidth="1"/>
    <col min="11" max="12" width="9.140625" style="53"/>
    <col min="13" max="13" width="9.5703125" style="53" customWidth="1"/>
    <col min="14" max="14" width="9.140625" style="53" customWidth="1"/>
    <col min="15" max="16384" width="9.140625" style="53"/>
  </cols>
  <sheetData>
    <row r="1" spans="1:14" x14ac:dyDescent="0.25">
      <c r="A1" s="53" t="s">
        <v>86</v>
      </c>
    </row>
    <row r="2" spans="1:14" ht="15.75" x14ac:dyDescent="0.25">
      <c r="A2" s="54" t="s">
        <v>87</v>
      </c>
    </row>
    <row r="3" spans="1:14" x14ac:dyDescent="0.25">
      <c r="A3" s="55" t="s">
        <v>88</v>
      </c>
    </row>
    <row r="4" spans="1:14" x14ac:dyDescent="0.25">
      <c r="B4" s="56"/>
      <c r="C4" s="56"/>
      <c r="D4" s="56"/>
      <c r="E4" s="56"/>
      <c r="F4" s="56"/>
    </row>
    <row r="5" spans="1:14" x14ac:dyDescent="0.25">
      <c r="A5" s="57" t="s">
        <v>89</v>
      </c>
      <c r="B5" s="55"/>
      <c r="C5" s="55"/>
      <c r="D5" s="55"/>
      <c r="E5" s="55"/>
      <c r="F5" s="55"/>
      <c r="G5" s="55"/>
      <c r="H5" s="55"/>
    </row>
    <row r="14" spans="1:14" ht="18.75" x14ac:dyDescent="0.3">
      <c r="A14" s="58" t="s">
        <v>90</v>
      </c>
    </row>
    <row r="16" spans="1:14" x14ac:dyDescent="0.25">
      <c r="B16" s="59" t="s">
        <v>91</v>
      </c>
      <c r="C16" s="60"/>
      <c r="D16" s="60"/>
      <c r="E16" s="60"/>
      <c r="F16" s="60"/>
      <c r="G16" s="60"/>
      <c r="H16" s="60"/>
      <c r="I16" s="60"/>
      <c r="J16" s="60"/>
      <c r="K16" s="60"/>
      <c r="L16" s="60"/>
      <c r="M16" s="60"/>
      <c r="N16" s="60"/>
    </row>
    <row r="17" spans="1:18" x14ac:dyDescent="0.25">
      <c r="B17" s="59" t="s">
        <v>26</v>
      </c>
      <c r="C17" s="61" t="s">
        <v>92</v>
      </c>
      <c r="D17" s="61" t="s">
        <v>93</v>
      </c>
      <c r="E17" s="61" t="s">
        <v>94</v>
      </c>
      <c r="F17" s="61"/>
      <c r="G17" s="60"/>
      <c r="H17" s="60"/>
      <c r="I17" s="60"/>
      <c r="J17" s="59" t="s">
        <v>8</v>
      </c>
      <c r="K17" s="61" t="s">
        <v>92</v>
      </c>
      <c r="L17" s="61" t="s">
        <v>93</v>
      </c>
      <c r="M17" s="61" t="s">
        <v>94</v>
      </c>
      <c r="N17" s="61"/>
      <c r="R17" s="62"/>
    </row>
    <row r="18" spans="1:18" x14ac:dyDescent="0.25">
      <c r="A18" s="63" t="s">
        <v>95</v>
      </c>
      <c r="B18" s="61" t="s">
        <v>70</v>
      </c>
      <c r="C18" s="61">
        <v>0</v>
      </c>
      <c r="D18" s="61">
        <v>93</v>
      </c>
      <c r="E18" s="61">
        <f>'Forecasted Capacities'!B16*10^(-3)</f>
        <v>260</v>
      </c>
      <c r="F18" s="61"/>
      <c r="G18" s="60"/>
      <c r="H18" s="60"/>
      <c r="I18" s="60"/>
      <c r="J18" s="61" t="s">
        <v>68</v>
      </c>
      <c r="K18" s="61">
        <v>56.8</v>
      </c>
      <c r="L18" s="61">
        <v>0</v>
      </c>
      <c r="M18" s="61">
        <f>'Forecasted Capacities'!B13*10^(-3)</f>
        <v>1E-3</v>
      </c>
      <c r="N18" s="64"/>
      <c r="R18" s="62"/>
    </row>
    <row r="19" spans="1:18" x14ac:dyDescent="0.25">
      <c r="B19" s="61" t="s">
        <v>73</v>
      </c>
      <c r="C19" s="61">
        <v>56.8</v>
      </c>
      <c r="D19" s="61">
        <v>93</v>
      </c>
      <c r="E19" s="61">
        <f>'Forecasted Capacities'!B18*10^(-3)</f>
        <v>440</v>
      </c>
      <c r="F19" s="61"/>
      <c r="G19" s="60"/>
      <c r="H19" s="60"/>
      <c r="I19" s="60"/>
      <c r="J19" s="61" t="s">
        <v>66</v>
      </c>
      <c r="K19" s="61">
        <v>275.39999999999998</v>
      </c>
      <c r="L19" s="61">
        <v>93</v>
      </c>
      <c r="M19" s="61">
        <f>'Forecasted Capacities'!B12*10^(-3)</f>
        <v>1E-3</v>
      </c>
      <c r="N19" s="61"/>
      <c r="R19" s="62"/>
    </row>
    <row r="20" spans="1:18" x14ac:dyDescent="0.25">
      <c r="B20" s="61" t="s">
        <v>68</v>
      </c>
      <c r="C20" s="61">
        <v>56.8</v>
      </c>
      <c r="D20" s="61">
        <v>0</v>
      </c>
      <c r="E20" s="61">
        <f>'Forecasted Capacities'!B17*10^(-3)</f>
        <v>4100</v>
      </c>
      <c r="F20" s="61"/>
      <c r="G20" s="60"/>
      <c r="H20" s="60"/>
      <c r="I20" s="60"/>
      <c r="J20" s="61" t="s">
        <v>64</v>
      </c>
      <c r="K20" s="61">
        <v>190</v>
      </c>
      <c r="L20" s="61">
        <v>93</v>
      </c>
      <c r="M20" s="61">
        <f>'Forecasted Capacities'!B11*10^(-3)</f>
        <v>4733.3333333333303</v>
      </c>
      <c r="N20" s="61"/>
      <c r="R20" s="62"/>
    </row>
    <row r="21" spans="1:18" x14ac:dyDescent="0.25">
      <c r="B21" s="61" t="s">
        <v>96</v>
      </c>
      <c r="C21" s="61">
        <v>97.8</v>
      </c>
      <c r="D21" s="61">
        <v>93</v>
      </c>
      <c r="E21" s="61">
        <f>'Forecasted Capacities'!B22*10^(-3)</f>
        <v>7000</v>
      </c>
      <c r="F21" s="61"/>
      <c r="G21" s="60"/>
      <c r="H21" s="60"/>
      <c r="I21" s="60"/>
      <c r="J21" s="61" t="s">
        <v>96</v>
      </c>
      <c r="K21" s="61">
        <v>97.8</v>
      </c>
      <c r="L21" s="61">
        <v>93</v>
      </c>
      <c r="M21" s="61">
        <f>'Forecasted Capacities'!B21*10^(-3)</f>
        <v>4000</v>
      </c>
      <c r="N21" s="61"/>
      <c r="R21" s="62"/>
    </row>
    <row r="22" spans="1:18" x14ac:dyDescent="0.25">
      <c r="B22" s="60"/>
      <c r="C22" s="60"/>
      <c r="D22" s="60"/>
      <c r="E22" s="65">
        <f>SUM(E18:E21)</f>
        <v>11800</v>
      </c>
      <c r="F22" s="60"/>
      <c r="G22" s="60"/>
      <c r="H22" s="60"/>
      <c r="I22" s="60"/>
      <c r="J22" s="60"/>
      <c r="K22" s="60"/>
      <c r="L22" s="60"/>
      <c r="M22" s="65">
        <f>SUM(M18:M21)</f>
        <v>8733.3353333333307</v>
      </c>
      <c r="N22" s="60"/>
    </row>
    <row r="23" spans="1:18" x14ac:dyDescent="0.25">
      <c r="B23" s="60"/>
      <c r="C23" s="60"/>
      <c r="D23" s="60"/>
      <c r="E23" s="60"/>
      <c r="F23" s="60"/>
      <c r="G23" s="60"/>
      <c r="H23" s="60"/>
      <c r="I23" s="60"/>
      <c r="J23" s="60"/>
      <c r="K23" s="60"/>
      <c r="L23" s="60"/>
      <c r="M23" s="60"/>
      <c r="N23" s="60"/>
    </row>
    <row r="24" spans="1:18" x14ac:dyDescent="0.25">
      <c r="B24" s="59" t="s">
        <v>97</v>
      </c>
      <c r="C24" s="60"/>
      <c r="D24" s="60"/>
      <c r="E24" s="60"/>
      <c r="F24" s="60"/>
      <c r="G24" s="60"/>
      <c r="H24" s="60"/>
      <c r="I24" s="60"/>
      <c r="J24" s="60"/>
      <c r="K24" s="60"/>
      <c r="L24" s="60"/>
      <c r="M24" s="60"/>
      <c r="N24" s="60"/>
    </row>
    <row r="25" spans="1:18" ht="15.75" x14ac:dyDescent="0.25">
      <c r="B25" s="66"/>
      <c r="C25" s="61" t="s">
        <v>98</v>
      </c>
      <c r="D25" s="60"/>
      <c r="E25" s="61">
        <f>'5. Current tariff method 20'!B13+'5. Current tariff method 20'!B14</f>
        <v>320.59471141603149</v>
      </c>
      <c r="F25" s="60"/>
      <c r="G25" s="60"/>
      <c r="H25" s="60"/>
      <c r="I25" s="60"/>
      <c r="J25" s="60"/>
      <c r="K25" s="60"/>
      <c r="L25" s="60"/>
      <c r="M25" s="60"/>
      <c r="N25" s="60"/>
    </row>
    <row r="26" spans="1:18" x14ac:dyDescent="0.25">
      <c r="A26" s="63" t="s">
        <v>99</v>
      </c>
      <c r="B26" s="60"/>
      <c r="C26" s="61" t="s">
        <v>100</v>
      </c>
      <c r="D26" s="60"/>
      <c r="E26" s="61">
        <f>'5. Current tariff method 20'!B14</f>
        <v>224.41629799122202</v>
      </c>
      <c r="F26" s="60"/>
      <c r="G26" s="60"/>
      <c r="H26" s="60"/>
      <c r="I26" s="60"/>
      <c r="J26" s="60"/>
      <c r="K26" s="60"/>
      <c r="L26" s="60"/>
      <c r="M26" s="60"/>
      <c r="N26" s="60"/>
    </row>
    <row r="27" spans="1:18" x14ac:dyDescent="0.25">
      <c r="A27" s="63" t="s">
        <v>101</v>
      </c>
      <c r="B27" s="60"/>
      <c r="C27" s="61" t="s">
        <v>102</v>
      </c>
      <c r="D27" s="61"/>
      <c r="E27" s="61">
        <v>0.5</v>
      </c>
      <c r="F27" s="60"/>
      <c r="G27" s="60"/>
      <c r="H27" s="60"/>
      <c r="I27" s="60"/>
      <c r="J27" s="60"/>
      <c r="K27" s="60"/>
      <c r="L27" s="60"/>
      <c r="M27" s="60"/>
      <c r="N27" s="60"/>
    </row>
    <row r="28" spans="1:18" x14ac:dyDescent="0.25">
      <c r="A28" s="63" t="s">
        <v>101</v>
      </c>
      <c r="B28" s="60"/>
      <c r="C28" s="61" t="s">
        <v>103</v>
      </c>
      <c r="D28" s="61"/>
      <c r="E28" s="61">
        <f>E26*E27</f>
        <v>112.20814899561101</v>
      </c>
      <c r="F28" s="60"/>
      <c r="G28" s="60"/>
      <c r="H28" s="60"/>
      <c r="I28" s="60"/>
      <c r="J28" s="60"/>
      <c r="K28" s="60"/>
      <c r="L28" s="60"/>
      <c r="N28" s="60"/>
    </row>
    <row r="29" spans="1:18" x14ac:dyDescent="0.25">
      <c r="B29" s="60"/>
      <c r="C29" s="61" t="s">
        <v>104</v>
      </c>
      <c r="D29" s="61"/>
      <c r="E29" s="61">
        <f>E26*(1-E27)</f>
        <v>112.20814899561101</v>
      </c>
      <c r="F29" s="60"/>
      <c r="G29" s="60"/>
      <c r="H29" s="60"/>
      <c r="I29" s="60"/>
      <c r="J29" s="60"/>
      <c r="K29" s="60"/>
      <c r="L29" s="60"/>
      <c r="M29" s="60"/>
      <c r="N29" s="60"/>
    </row>
    <row r="30" spans="1:18" x14ac:dyDescent="0.25">
      <c r="B30" s="60"/>
      <c r="C30" s="61" t="s">
        <v>105</v>
      </c>
      <c r="D30" s="60"/>
      <c r="E30" s="61">
        <f>'5. Current tariff method 20'!B13</f>
        <v>96.178413424809463</v>
      </c>
      <c r="F30" s="60"/>
      <c r="G30" s="60"/>
      <c r="H30" s="60"/>
      <c r="I30" s="60"/>
      <c r="J30" s="60"/>
      <c r="K30" s="60"/>
      <c r="L30" s="60"/>
      <c r="M30" s="60"/>
      <c r="N30" s="60"/>
    </row>
    <row r="32" spans="1:18" x14ac:dyDescent="0.25">
      <c r="K32" s="67"/>
      <c r="L32" s="67"/>
    </row>
    <row r="33" spans="1:14" x14ac:dyDescent="0.25">
      <c r="B33" s="68" t="s">
        <v>106</v>
      </c>
      <c r="J33" s="68" t="s">
        <v>107</v>
      </c>
    </row>
    <row r="34" spans="1:14" x14ac:dyDescent="0.25">
      <c r="B34" s="69" t="s">
        <v>108</v>
      </c>
      <c r="C34" s="69" t="s">
        <v>8</v>
      </c>
      <c r="J34" s="69" t="s">
        <v>109</v>
      </c>
      <c r="K34" s="62" t="s">
        <v>26</v>
      </c>
    </row>
    <row r="35" spans="1:14" x14ac:dyDescent="0.25">
      <c r="B35" s="69" t="s">
        <v>26</v>
      </c>
      <c r="C35" s="62" t="s">
        <v>68</v>
      </c>
      <c r="D35" s="62" t="s">
        <v>66</v>
      </c>
      <c r="E35" s="62" t="s">
        <v>64</v>
      </c>
      <c r="F35" s="62" t="s">
        <v>96</v>
      </c>
      <c r="J35" s="62" t="s">
        <v>8</v>
      </c>
      <c r="K35" s="62" t="s">
        <v>70</v>
      </c>
      <c r="L35" s="62" t="s">
        <v>73</v>
      </c>
      <c r="M35" s="62" t="s">
        <v>68</v>
      </c>
      <c r="N35" s="62" t="s">
        <v>96</v>
      </c>
    </row>
    <row r="36" spans="1:14" x14ac:dyDescent="0.25">
      <c r="B36" s="62" t="s">
        <v>70</v>
      </c>
      <c r="C36" s="62">
        <f>ABS(C20-C18)+ABS(D18-D20)</f>
        <v>149.80000000000001</v>
      </c>
      <c r="D36" s="62">
        <f>ABS(K19-C18)+ABS(L19-D18)</f>
        <v>275.39999999999998</v>
      </c>
      <c r="E36" s="62">
        <f>ABS(K20-C18)+ABS(L20-D18)</f>
        <v>190</v>
      </c>
      <c r="F36" s="62">
        <f>ABS(K21-C18)+ABS(L21-D18)</f>
        <v>97.8</v>
      </c>
      <c r="J36" s="62" t="s">
        <v>68</v>
      </c>
      <c r="K36" s="62">
        <f>$M18</f>
        <v>1E-3</v>
      </c>
      <c r="L36" s="62">
        <f t="shared" ref="L36:L39" si="0">$M18</f>
        <v>1E-3</v>
      </c>
      <c r="M36" s="62">
        <v>0</v>
      </c>
      <c r="N36" s="62">
        <f>$M18</f>
        <v>1E-3</v>
      </c>
    </row>
    <row r="37" spans="1:14" x14ac:dyDescent="0.25">
      <c r="B37" s="62" t="s">
        <v>73</v>
      </c>
      <c r="C37" s="62">
        <f>ABS(C19-C20)+ABS(D19-D20)</f>
        <v>93</v>
      </c>
      <c r="D37" s="62">
        <f>ABS(K19-C19)+ABS(L19-D19)</f>
        <v>218.59999999999997</v>
      </c>
      <c r="E37" s="62">
        <f>ABS(K20-C19)+ABS(L20-D19)</f>
        <v>133.19999999999999</v>
      </c>
      <c r="F37" s="62">
        <f>ABS(K21-C19)+ABS(L21-D19)</f>
        <v>41</v>
      </c>
      <c r="J37" s="62" t="s">
        <v>66</v>
      </c>
      <c r="K37" s="62">
        <f>$M19</f>
        <v>1E-3</v>
      </c>
      <c r="L37" s="62">
        <f t="shared" si="0"/>
        <v>1E-3</v>
      </c>
      <c r="M37" s="62">
        <f>$M19</f>
        <v>1E-3</v>
      </c>
      <c r="N37" s="62">
        <f>$M19</f>
        <v>1E-3</v>
      </c>
    </row>
    <row r="38" spans="1:14" x14ac:dyDescent="0.25">
      <c r="B38" s="62" t="s">
        <v>68</v>
      </c>
      <c r="C38" s="62">
        <v>0</v>
      </c>
      <c r="D38" s="62">
        <f>ABS(K19-K18)+ABS(L19-L18)</f>
        <v>311.59999999999997</v>
      </c>
      <c r="E38" s="62">
        <f>ABS(K20-K18)+ABS(L20-L18)</f>
        <v>226.2</v>
      </c>
      <c r="F38" s="62">
        <f>ABS(K21-K18)+ABS(L21-L18)</f>
        <v>134</v>
      </c>
      <c r="J38" s="62" t="s">
        <v>64</v>
      </c>
      <c r="K38" s="62">
        <f>$M20</f>
        <v>4733.3333333333303</v>
      </c>
      <c r="L38" s="62">
        <f t="shared" si="0"/>
        <v>4733.3333333333303</v>
      </c>
      <c r="M38" s="62">
        <f>$M20</f>
        <v>4733.3333333333303</v>
      </c>
      <c r="N38" s="62">
        <f>$M20</f>
        <v>4733.3333333333303</v>
      </c>
    </row>
    <row r="39" spans="1:14" x14ac:dyDescent="0.25">
      <c r="B39" s="62" t="s">
        <v>96</v>
      </c>
      <c r="C39" s="62">
        <f>ABS(C21-C20)+ABS(D21-D20)</f>
        <v>134</v>
      </c>
      <c r="D39" s="62">
        <f>ABS(K19-K21)+ABS(L19-L21)</f>
        <v>177.59999999999997</v>
      </c>
      <c r="E39" s="62">
        <f>ABS(K20-K21)+ABS(L20-L21)</f>
        <v>92.2</v>
      </c>
      <c r="F39" s="62">
        <v>0</v>
      </c>
      <c r="J39" s="62" t="s">
        <v>96</v>
      </c>
      <c r="K39" s="62">
        <f>$M21</f>
        <v>4000</v>
      </c>
      <c r="L39" s="62">
        <f t="shared" si="0"/>
        <v>4000</v>
      </c>
      <c r="M39" s="62">
        <f>$M21</f>
        <v>4000</v>
      </c>
      <c r="N39" s="62">
        <v>0</v>
      </c>
    </row>
    <row r="40" spans="1:14" x14ac:dyDescent="0.25">
      <c r="J40" s="62"/>
      <c r="K40" s="62"/>
      <c r="L40" s="62"/>
      <c r="M40" s="62"/>
      <c r="N40" s="62"/>
    </row>
    <row r="41" spans="1:14" x14ac:dyDescent="0.25">
      <c r="J41" s="70" t="s">
        <v>14</v>
      </c>
      <c r="K41" s="70">
        <f>SUM(K36:K39)</f>
        <v>8733.3353333333307</v>
      </c>
      <c r="L41" s="70">
        <f t="shared" ref="L41:N41" si="1">SUM(L36:L39)</f>
        <v>8733.3353333333307</v>
      </c>
      <c r="M41" s="70">
        <f t="shared" si="1"/>
        <v>8733.3343333333305</v>
      </c>
      <c r="N41" s="70">
        <f t="shared" si="1"/>
        <v>4733.3353333333307</v>
      </c>
    </row>
    <row r="43" spans="1:14" x14ac:dyDescent="0.25">
      <c r="B43" s="68" t="s">
        <v>110</v>
      </c>
      <c r="C43" s="68"/>
      <c r="D43" s="68"/>
      <c r="E43" s="68" t="s">
        <v>111</v>
      </c>
      <c r="F43" s="68"/>
      <c r="G43" s="68"/>
      <c r="H43" s="68" t="s">
        <v>112</v>
      </c>
      <c r="I43" s="68"/>
      <c r="J43" s="68" t="s">
        <v>113</v>
      </c>
      <c r="K43" s="68"/>
    </row>
    <row r="44" spans="1:14" x14ac:dyDescent="0.25">
      <c r="A44" s="63" t="s">
        <v>114</v>
      </c>
      <c r="B44" s="62"/>
      <c r="C44" s="69" t="s">
        <v>115</v>
      </c>
      <c r="D44" s="69"/>
      <c r="E44" s="69" t="s">
        <v>116</v>
      </c>
      <c r="F44" s="62"/>
      <c r="G44" s="62"/>
      <c r="H44" s="69" t="s">
        <v>117</v>
      </c>
      <c r="I44" s="62"/>
      <c r="J44" s="69" t="s">
        <v>118</v>
      </c>
      <c r="K44" s="69" t="s">
        <v>8</v>
      </c>
    </row>
    <row r="45" spans="1:14" x14ac:dyDescent="0.25">
      <c r="B45" s="62" t="s">
        <v>70</v>
      </c>
      <c r="C45" s="62">
        <f>MMULT(C36:F36,K36:K39)/K41</f>
        <v>147.77100721274644</v>
      </c>
      <c r="D45" s="62"/>
      <c r="E45" s="62">
        <f>SUMPRODUCT(C45:C48,E18:E21)</f>
        <v>1478129.0217812373</v>
      </c>
      <c r="F45" s="62"/>
      <c r="G45" s="62"/>
      <c r="H45" s="62">
        <f>E18*C45/$E$45</f>
        <v>2.5992630757641869E-2</v>
      </c>
      <c r="I45" s="62"/>
      <c r="J45" s="69" t="s">
        <v>26</v>
      </c>
      <c r="K45" s="62" t="s">
        <v>68</v>
      </c>
      <c r="L45" s="62" t="s">
        <v>66</v>
      </c>
      <c r="M45" s="62" t="s">
        <v>64</v>
      </c>
      <c r="N45" s="62" t="s">
        <v>96</v>
      </c>
    </row>
    <row r="46" spans="1:14" x14ac:dyDescent="0.25">
      <c r="B46" s="62" t="s">
        <v>73</v>
      </c>
      <c r="C46" s="62">
        <f>MMULT(C37:F37,L36:L39)/L41</f>
        <v>90.971007212746414</v>
      </c>
      <c r="D46" s="62"/>
      <c r="E46" s="62"/>
      <c r="F46" s="62"/>
      <c r="G46" s="62"/>
      <c r="H46" s="62">
        <f>E19*C46/$E$45</f>
        <v>2.7079668001764222E-2</v>
      </c>
      <c r="I46" s="62"/>
      <c r="J46" s="62" t="s">
        <v>70</v>
      </c>
      <c r="K46" s="62">
        <f>$E18</f>
        <v>260</v>
      </c>
      <c r="L46" s="62">
        <f t="shared" ref="K46:N47" si="2">$E18</f>
        <v>260</v>
      </c>
      <c r="M46" s="62">
        <f t="shared" si="2"/>
        <v>260</v>
      </c>
      <c r="N46" s="62">
        <f t="shared" si="2"/>
        <v>260</v>
      </c>
    </row>
    <row r="47" spans="1:14" x14ac:dyDescent="0.25">
      <c r="B47" s="62" t="s">
        <v>68</v>
      </c>
      <c r="C47" s="62">
        <f>MMULT(C38:F38,M36:M39)/M41</f>
        <v>183.97100698041902</v>
      </c>
      <c r="D47" s="62"/>
      <c r="E47" s="62"/>
      <c r="F47" s="62"/>
      <c r="G47" s="62"/>
      <c r="H47" s="62">
        <f>E20*C47/$E$45</f>
        <v>0.51029451252554558</v>
      </c>
      <c r="I47" s="62"/>
      <c r="J47" s="62" t="s">
        <v>73</v>
      </c>
      <c r="K47" s="62">
        <f t="shared" si="2"/>
        <v>440</v>
      </c>
      <c r="L47" s="62">
        <f t="shared" si="2"/>
        <v>440</v>
      </c>
      <c r="M47" s="62">
        <f t="shared" si="2"/>
        <v>440</v>
      </c>
      <c r="N47" s="62">
        <f t="shared" si="2"/>
        <v>440</v>
      </c>
    </row>
    <row r="48" spans="1:14" x14ac:dyDescent="0.25">
      <c r="B48" s="62" t="s">
        <v>96</v>
      </c>
      <c r="C48" s="62">
        <f>MMULT(C39:F39,N36:N39)/N41</f>
        <v>92.200026873228083</v>
      </c>
      <c r="D48" s="62"/>
      <c r="E48" s="62"/>
      <c r="F48" s="62"/>
      <c r="G48" s="62"/>
      <c r="H48" s="62">
        <f>E21*C48/$E$45</f>
        <v>0.43663318871504825</v>
      </c>
      <c r="I48" s="62"/>
      <c r="J48" s="62" t="s">
        <v>68</v>
      </c>
      <c r="K48" s="62">
        <v>0</v>
      </c>
      <c r="L48" s="62">
        <f>$E20</f>
        <v>4100</v>
      </c>
      <c r="M48" s="62">
        <f>$E20</f>
        <v>4100</v>
      </c>
      <c r="N48" s="62">
        <f>$E20</f>
        <v>4100</v>
      </c>
    </row>
    <row r="49" spans="2:16" x14ac:dyDescent="0.25">
      <c r="J49" s="62" t="s">
        <v>96</v>
      </c>
      <c r="K49" s="62">
        <f>$E21</f>
        <v>7000</v>
      </c>
      <c r="L49" s="62">
        <f>$E21</f>
        <v>7000</v>
      </c>
      <c r="M49" s="62">
        <f>$E21</f>
        <v>7000</v>
      </c>
      <c r="N49" s="62">
        <v>0</v>
      </c>
    </row>
    <row r="50" spans="2:16" x14ac:dyDescent="0.25">
      <c r="J50" s="62"/>
      <c r="K50" s="62"/>
      <c r="L50" s="62"/>
      <c r="M50" s="62"/>
      <c r="N50" s="62"/>
    </row>
    <row r="51" spans="2:16" x14ac:dyDescent="0.25">
      <c r="J51" s="70" t="s">
        <v>14</v>
      </c>
      <c r="K51" s="70">
        <f>SUM(K46:K49)</f>
        <v>7700</v>
      </c>
      <c r="L51" s="70">
        <f t="shared" ref="L51:N51" si="3">SUM(L46:L49)</f>
        <v>11800</v>
      </c>
      <c r="M51" s="70">
        <f t="shared" si="3"/>
        <v>11800</v>
      </c>
      <c r="N51" s="70">
        <f t="shared" si="3"/>
        <v>4800</v>
      </c>
    </row>
    <row r="53" spans="2:16" x14ac:dyDescent="0.25">
      <c r="B53" s="68" t="s">
        <v>119</v>
      </c>
      <c r="C53" s="68"/>
      <c r="D53" s="68"/>
      <c r="E53" s="68" t="s">
        <v>120</v>
      </c>
      <c r="F53" s="68"/>
      <c r="G53" s="68"/>
      <c r="H53" s="68" t="s">
        <v>121</v>
      </c>
      <c r="I53" s="68"/>
    </row>
    <row r="54" spans="2:16" x14ac:dyDescent="0.25">
      <c r="B54" s="62"/>
      <c r="C54" s="69" t="s">
        <v>122</v>
      </c>
      <c r="D54" s="69"/>
      <c r="E54" s="69" t="s">
        <v>116</v>
      </c>
      <c r="F54" s="69"/>
      <c r="G54" s="69"/>
      <c r="H54" s="69" t="s">
        <v>123</v>
      </c>
    </row>
    <row r="55" spans="2:16" x14ac:dyDescent="0.25">
      <c r="B55" s="62" t="s">
        <v>68</v>
      </c>
      <c r="C55" s="62">
        <f>SUMPRODUCT(K46:K49,C36:C39)/K51</f>
        <v>132.19064935064935</v>
      </c>
      <c r="E55" s="62">
        <f>SUMPRODUCT(C55:C58,M18:M21)</f>
        <v>1168287.4673783325</v>
      </c>
      <c r="F55" s="62"/>
      <c r="G55" s="62"/>
      <c r="H55" s="62">
        <f>M18*C55/$E$55</f>
        <v>1.1314907763864712E-7</v>
      </c>
    </row>
    <row r="56" spans="2:16" x14ac:dyDescent="0.25">
      <c r="B56" s="62" t="s">
        <v>66</v>
      </c>
      <c r="C56" s="62">
        <f>SUMPRODUCT(L46:L49,D36:D39)/L51</f>
        <v>227.84305084745759</v>
      </c>
      <c r="E56" s="62"/>
      <c r="F56" s="62"/>
      <c r="G56" s="62"/>
      <c r="H56" s="62">
        <f>M19*C56/$E$55</f>
        <v>1.9502310622123108E-7</v>
      </c>
    </row>
    <row r="57" spans="2:16" x14ac:dyDescent="0.25">
      <c r="B57" s="62" t="s">
        <v>64</v>
      </c>
      <c r="C57" s="62">
        <f>SUMPRODUCT(M46:M49,E36:E39)/M51</f>
        <v>142.44305084745761</v>
      </c>
      <c r="E57" s="62"/>
      <c r="F57" s="62"/>
      <c r="G57" s="62"/>
      <c r="H57" s="62">
        <f>M20*C57/$E$55</f>
        <v>0.5771100516818487</v>
      </c>
    </row>
    <row r="58" spans="2:16" x14ac:dyDescent="0.25">
      <c r="B58" s="62" t="s">
        <v>96</v>
      </c>
      <c r="C58" s="62">
        <f>SUMPRODUCT(N46:N49,F36:F39)/N51</f>
        <v>123.51416666666667</v>
      </c>
      <c r="E58" s="62"/>
      <c r="F58" s="62"/>
      <c r="G58" s="62"/>
      <c r="H58" s="62">
        <f>M21*C58/$E$55</f>
        <v>0.42288964014596742</v>
      </c>
    </row>
    <row r="60" spans="2:16" x14ac:dyDescent="0.25">
      <c r="B60" s="68" t="s">
        <v>124</v>
      </c>
      <c r="C60" s="68"/>
      <c r="D60" s="68"/>
      <c r="E60" s="68"/>
      <c r="F60" s="68"/>
      <c r="G60" s="68"/>
      <c r="J60" s="68" t="s">
        <v>125</v>
      </c>
      <c r="K60" s="68"/>
      <c r="L60" s="68"/>
      <c r="M60" s="68"/>
      <c r="N60" s="68" t="s">
        <v>126</v>
      </c>
      <c r="O60" s="68"/>
    </row>
    <row r="61" spans="2:16" x14ac:dyDescent="0.25">
      <c r="J61" s="71" t="s">
        <v>127</v>
      </c>
    </row>
    <row r="62" spans="2:16" x14ac:dyDescent="0.25">
      <c r="B62" s="69" t="s">
        <v>26</v>
      </c>
      <c r="C62" s="69" t="s">
        <v>128</v>
      </c>
      <c r="D62" s="69" t="s">
        <v>129</v>
      </c>
      <c r="E62" s="69" t="s">
        <v>130</v>
      </c>
      <c r="F62" s="69" t="s">
        <v>131</v>
      </c>
      <c r="J62" s="72" t="s">
        <v>132</v>
      </c>
      <c r="K62" s="69" t="s">
        <v>133</v>
      </c>
      <c r="L62" s="69" t="s">
        <v>134</v>
      </c>
      <c r="N62" s="69" t="s">
        <v>135</v>
      </c>
      <c r="O62" s="69" t="s">
        <v>136</v>
      </c>
    </row>
    <row r="63" spans="2:16" x14ac:dyDescent="0.25">
      <c r="B63" s="62" t="s">
        <v>70</v>
      </c>
      <c r="C63" s="62">
        <f>H45</f>
        <v>2.5992630757641869E-2</v>
      </c>
      <c r="D63" s="62">
        <f>E28</f>
        <v>112.20814899561101</v>
      </c>
      <c r="E63" s="62">
        <f>C63*$D$63</f>
        <v>2.9165849848413803</v>
      </c>
      <c r="F63" s="62">
        <f>E63/E18</f>
        <v>1.1217634557082232E-2</v>
      </c>
      <c r="G63" s="62"/>
      <c r="J63" s="62" t="s">
        <v>137</v>
      </c>
      <c r="K63" s="62">
        <f>IF(J63="yes",F63*0,F63)</f>
        <v>1.1217634557082232E-2</v>
      </c>
      <c r="L63" s="62">
        <f>K63*E18</f>
        <v>2.9165849848413803</v>
      </c>
      <c r="M63" s="62"/>
      <c r="N63" s="62">
        <f>K63*$E$68/$L$68</f>
        <v>1.9911777428806211E-2</v>
      </c>
      <c r="O63" s="62">
        <f>N63*E18</f>
        <v>5.177062131489615</v>
      </c>
      <c r="P63" s="62"/>
    </row>
    <row r="64" spans="2:16" x14ac:dyDescent="0.25">
      <c r="B64" s="62" t="s">
        <v>73</v>
      </c>
      <c r="C64" s="62">
        <f>H46</f>
        <v>2.7079668001764222E-2</v>
      </c>
      <c r="D64" s="62"/>
      <c r="E64" s="62">
        <f>C64*$D$63</f>
        <v>3.0385594218936398</v>
      </c>
      <c r="F64" s="62">
        <f>E64/E19</f>
        <v>6.9058168679400908E-3</v>
      </c>
      <c r="G64" s="62"/>
      <c r="J64" s="62" t="s">
        <v>137</v>
      </c>
      <c r="K64" s="62">
        <f>IF(J64="yes",F64*0,F64)</f>
        <v>6.9058168679400908E-3</v>
      </c>
      <c r="L64" s="62">
        <f>K64*E19</f>
        <v>3.0385594218936398</v>
      </c>
      <c r="M64" s="62"/>
      <c r="N64" s="62">
        <f>K64*$E$68/$L$68</f>
        <v>1.2258118031818381E-2</v>
      </c>
      <c r="O64" s="62">
        <f>N64*E19</f>
        <v>5.3935719340000876</v>
      </c>
      <c r="P64" s="62"/>
    </row>
    <row r="65" spans="2:16" x14ac:dyDescent="0.25">
      <c r="B65" s="62" t="s">
        <v>68</v>
      </c>
      <c r="C65" s="62">
        <f>H47</f>
        <v>0.51029451252554558</v>
      </c>
      <c r="D65" s="62"/>
      <c r="E65" s="62">
        <f>C65*$D$63</f>
        <v>57.25920269310911</v>
      </c>
      <c r="F65" s="62">
        <f>E65/E20</f>
        <v>1.3965659193441246E-2</v>
      </c>
      <c r="G65" s="62"/>
      <c r="J65" s="62" t="s">
        <v>137</v>
      </c>
      <c r="K65" s="62">
        <f>IF(J65="yes",F65*0,F65)</f>
        <v>1.3965659193441246E-2</v>
      </c>
      <c r="L65" s="62">
        <f>K65*E20</f>
        <v>57.25920269310911</v>
      </c>
      <c r="M65" s="62"/>
      <c r="N65" s="62">
        <f>K65*$E$68/$L$68</f>
        <v>2.4789637787834461E-2</v>
      </c>
      <c r="O65" s="62">
        <f>N65*E20</f>
        <v>101.63751493012128</v>
      </c>
      <c r="P65" s="62"/>
    </row>
    <row r="66" spans="2:16" x14ac:dyDescent="0.25">
      <c r="B66" s="62" t="s">
        <v>96</v>
      </c>
      <c r="C66" s="62">
        <f>H48</f>
        <v>0.43663318871504825</v>
      </c>
      <c r="D66" s="62"/>
      <c r="E66" s="62">
        <f>C66*$D$63</f>
        <v>48.993801895766872</v>
      </c>
      <c r="F66" s="62">
        <f>E66/E21</f>
        <v>6.9991145565381245E-3</v>
      </c>
      <c r="G66" s="62"/>
      <c r="J66" s="62" t="s">
        <v>138</v>
      </c>
      <c r="K66" s="62">
        <f>IF(J66="yes",F66*0,F66)</f>
        <v>0</v>
      </c>
      <c r="L66" s="62">
        <f>K66*E21</f>
        <v>0</v>
      </c>
      <c r="M66" s="62"/>
      <c r="N66" s="62">
        <f>K66*$E$68/$L$68</f>
        <v>0</v>
      </c>
      <c r="O66" s="62">
        <f>N66*E21</f>
        <v>0</v>
      </c>
      <c r="P66" s="62"/>
    </row>
    <row r="67" spans="2:16" x14ac:dyDescent="0.25">
      <c r="B67" s="62"/>
      <c r="C67" s="62"/>
      <c r="D67" s="62"/>
      <c r="E67" s="62"/>
      <c r="F67" s="62"/>
      <c r="G67" s="62"/>
      <c r="J67" s="62"/>
      <c r="K67" s="62"/>
      <c r="L67" s="62"/>
      <c r="M67" s="62"/>
      <c r="N67" s="62"/>
      <c r="O67" s="62"/>
      <c r="P67" s="62"/>
    </row>
    <row r="68" spans="2:16" x14ac:dyDescent="0.25">
      <c r="E68" s="73">
        <f>SUM(E63:E66)</f>
        <v>112.208148995611</v>
      </c>
      <c r="L68" s="73">
        <f>SUM(L63:L66)</f>
        <v>63.214347099844133</v>
      </c>
      <c r="O68" s="73">
        <f>SUM(O63:O66)</f>
        <v>112.20814899561098</v>
      </c>
    </row>
    <row r="71" spans="2:16" x14ac:dyDescent="0.25">
      <c r="B71" s="68" t="s">
        <v>139</v>
      </c>
      <c r="C71" s="68"/>
      <c r="D71" s="68"/>
      <c r="E71" s="68"/>
      <c r="F71" s="68"/>
      <c r="G71" s="68"/>
      <c r="J71" s="68" t="s">
        <v>140</v>
      </c>
      <c r="K71" s="68"/>
      <c r="L71" s="68"/>
      <c r="M71" s="68"/>
      <c r="N71" s="68" t="s">
        <v>141</v>
      </c>
      <c r="O71" s="68"/>
    </row>
    <row r="72" spans="2:16" x14ac:dyDescent="0.25">
      <c r="J72" s="71" t="s">
        <v>142</v>
      </c>
    </row>
    <row r="73" spans="2:16" x14ac:dyDescent="0.25">
      <c r="B73" s="69" t="s">
        <v>8</v>
      </c>
      <c r="C73" s="69" t="s">
        <v>143</v>
      </c>
      <c r="D73" s="69" t="s">
        <v>144</v>
      </c>
      <c r="E73" s="69" t="s">
        <v>145</v>
      </c>
      <c r="F73" s="69" t="s">
        <v>146</v>
      </c>
      <c r="J73" s="72" t="s">
        <v>132</v>
      </c>
      <c r="K73" s="69" t="s">
        <v>147</v>
      </c>
      <c r="L73" s="69" t="s">
        <v>148</v>
      </c>
      <c r="N73" s="69" t="s">
        <v>149</v>
      </c>
      <c r="O73" s="69" t="s">
        <v>150</v>
      </c>
    </row>
    <row r="74" spans="2:16" x14ac:dyDescent="0.25">
      <c r="B74" s="62" t="s">
        <v>68</v>
      </c>
      <c r="C74" s="62">
        <f>H55</f>
        <v>1.1314907763864712E-7</v>
      </c>
      <c r="D74" s="62">
        <f>E29</f>
        <v>112.20814899561101</v>
      </c>
      <c r="E74" s="62">
        <f>C74*$D$74</f>
        <v>1.2696248562393275E-5</v>
      </c>
      <c r="F74" s="62">
        <f>E74/M18</f>
        <v>1.2696248562393275E-2</v>
      </c>
      <c r="G74" s="62"/>
      <c r="J74" s="62" t="s">
        <v>137</v>
      </c>
      <c r="K74" s="62">
        <f>IF(J74="yes",F74*0,F74)</f>
        <v>1.2696248562393275E-2</v>
      </c>
      <c r="L74" s="62">
        <f>K74*M18</f>
        <v>1.2696248562393275E-5</v>
      </c>
      <c r="M74" s="62"/>
      <c r="N74" s="62">
        <f>K74*$E$79/$L$79</f>
        <v>2.199968921993449E-2</v>
      </c>
      <c r="O74" s="62">
        <f>N74*M18</f>
        <v>2.1999689219934492E-5</v>
      </c>
      <c r="P74" s="62"/>
    </row>
    <row r="75" spans="2:16" x14ac:dyDescent="0.25">
      <c r="B75" s="62" t="s">
        <v>66</v>
      </c>
      <c r="C75" s="62">
        <f>H56</f>
        <v>1.9502310622123108E-7</v>
      </c>
      <c r="D75" s="62"/>
      <c r="E75" s="62">
        <f>C75*$D$74</f>
        <v>2.1883181760458769E-5</v>
      </c>
      <c r="F75" s="62">
        <f>E75/M19</f>
        <v>2.1883181760458767E-2</v>
      </c>
      <c r="G75" s="62"/>
      <c r="J75" s="62" t="s">
        <v>137</v>
      </c>
      <c r="K75" s="62">
        <f>IF(J75="yes",F75*0,F75)</f>
        <v>2.1883181760458767E-2</v>
      </c>
      <c r="L75" s="62">
        <f>K75*M19</f>
        <v>2.1883181760458769E-5</v>
      </c>
      <c r="M75" s="62"/>
      <c r="N75" s="62">
        <f>K75*$E$79/$L$79</f>
        <v>3.7918539126543555E-2</v>
      </c>
      <c r="O75" s="62">
        <f>N75*M19</f>
        <v>3.7918539126543557E-5</v>
      </c>
      <c r="P75" s="62"/>
    </row>
    <row r="76" spans="2:16" x14ac:dyDescent="0.25">
      <c r="B76" s="62" t="s">
        <v>64</v>
      </c>
      <c r="C76" s="62">
        <f>H57</f>
        <v>0.5771100516818487</v>
      </c>
      <c r="D76" s="62"/>
      <c r="E76" s="62">
        <f>C76*$D$74</f>
        <v>64.756450665981646</v>
      </c>
      <c r="F76" s="62">
        <f>E76/M20</f>
        <v>1.3680940281545427E-2</v>
      </c>
      <c r="G76" s="62"/>
      <c r="J76" s="62" t="s">
        <v>137</v>
      </c>
      <c r="K76" s="62">
        <f>IF(J76="yes",F76*0,F76)</f>
        <v>1.3680940281545427E-2</v>
      </c>
      <c r="L76" s="62">
        <f>K76*M20</f>
        <v>64.756450665981646</v>
      </c>
      <c r="M76" s="62"/>
      <c r="N76" s="62">
        <f>K76*$E$79/$L$79</f>
        <v>2.3705934312123113E-2</v>
      </c>
      <c r="O76" s="62">
        <f>N76*M20</f>
        <v>112.20808907738267</v>
      </c>
      <c r="P76" s="62"/>
    </row>
    <row r="77" spans="2:16" x14ac:dyDescent="0.25">
      <c r="B77" s="62" t="s">
        <v>96</v>
      </c>
      <c r="C77" s="62">
        <f>H58</f>
        <v>0.42288964014596742</v>
      </c>
      <c r="D77" s="62"/>
      <c r="E77" s="62">
        <f>C77*$D$74</f>
        <v>47.451663750199039</v>
      </c>
      <c r="F77" s="62">
        <f>E77/M21</f>
        <v>1.186291593754976E-2</v>
      </c>
      <c r="G77" s="62"/>
      <c r="J77" s="62" t="s">
        <v>138</v>
      </c>
      <c r="K77" s="62">
        <f>IF(J77="yes",F77*0,F77)</f>
        <v>0</v>
      </c>
      <c r="L77" s="62">
        <f>K77*M21</f>
        <v>0</v>
      </c>
      <c r="M77" s="62"/>
      <c r="N77" s="62">
        <f>K77*$E$79/$L$79</f>
        <v>0</v>
      </c>
      <c r="O77" s="62">
        <f>N77*M21</f>
        <v>0</v>
      </c>
      <c r="P77" s="62"/>
    </row>
    <row r="78" spans="2:16" x14ac:dyDescent="0.25">
      <c r="B78" s="62"/>
      <c r="C78" s="62"/>
      <c r="D78" s="62"/>
      <c r="E78" s="62"/>
      <c r="F78" s="62"/>
      <c r="G78" s="62"/>
      <c r="J78" s="62"/>
      <c r="K78" s="62"/>
      <c r="L78" s="62"/>
      <c r="M78" s="62"/>
      <c r="N78" s="62"/>
      <c r="O78" s="62"/>
      <c r="P78" s="62"/>
    </row>
    <row r="79" spans="2:16" x14ac:dyDescent="0.25">
      <c r="E79" s="73">
        <f>SUM(E74:E77)</f>
        <v>112.208148995611</v>
      </c>
      <c r="L79" s="73">
        <f>SUM(L74:L77)</f>
        <v>64.756485245411966</v>
      </c>
      <c r="O79" s="73">
        <f>SUM(O74:O77)</f>
        <v>112.20814899561101</v>
      </c>
    </row>
    <row r="81" spans="1:12" ht="18.75" x14ac:dyDescent="0.3">
      <c r="A81" s="58" t="s">
        <v>151</v>
      </c>
    </row>
    <row r="83" spans="1:12" x14ac:dyDescent="0.25">
      <c r="B83" s="68" t="s">
        <v>152</v>
      </c>
      <c r="J83" s="68" t="s">
        <v>153</v>
      </c>
    </row>
    <row r="84" spans="1:12" x14ac:dyDescent="0.25">
      <c r="B84" s="69" t="s">
        <v>154</v>
      </c>
      <c r="C84" s="69" t="s">
        <v>155</v>
      </c>
      <c r="D84" s="69" t="s">
        <v>156</v>
      </c>
      <c r="E84" s="69" t="s">
        <v>156</v>
      </c>
      <c r="F84" s="69" t="s">
        <v>155</v>
      </c>
      <c r="G84" s="74"/>
      <c r="J84" s="75" t="s">
        <v>157</v>
      </c>
      <c r="K84" s="75"/>
      <c r="L84" s="75"/>
    </row>
    <row r="85" spans="1:12" x14ac:dyDescent="0.25">
      <c r="B85" s="62"/>
      <c r="C85" s="62" t="s">
        <v>64</v>
      </c>
      <c r="D85" s="62" t="s">
        <v>68</v>
      </c>
      <c r="E85" s="62" t="s">
        <v>66</v>
      </c>
      <c r="F85" s="62" t="s">
        <v>96</v>
      </c>
      <c r="G85" s="74"/>
      <c r="J85" s="74"/>
      <c r="K85" s="69" t="s">
        <v>158</v>
      </c>
      <c r="L85" s="69" t="s">
        <v>159</v>
      </c>
    </row>
    <row r="86" spans="1:12" x14ac:dyDescent="0.25">
      <c r="B86" s="69" t="s">
        <v>160</v>
      </c>
      <c r="C86" s="62">
        <f>M20</f>
        <v>4733.3333333333303</v>
      </c>
      <c r="D86" s="62">
        <f>M18</f>
        <v>1E-3</v>
      </c>
      <c r="E86" s="62">
        <f>M19</f>
        <v>1E-3</v>
      </c>
      <c r="F86" s="62">
        <f>M21</f>
        <v>4000</v>
      </c>
      <c r="G86" s="74"/>
      <c r="J86" s="76" t="s">
        <v>70</v>
      </c>
      <c r="K86" s="62">
        <f>(K38*E36+K39*F36)/SUM(K38,K39)</f>
        <v>147.7709923664122</v>
      </c>
      <c r="L86" s="62">
        <f>(K36*C36+K37*D36)/SUM(K36,K37)</f>
        <v>212.6</v>
      </c>
    </row>
    <row r="87" spans="1:12" x14ac:dyDescent="0.25">
      <c r="B87" s="69" t="s">
        <v>161</v>
      </c>
      <c r="C87" s="62">
        <f>C86*C57</f>
        <v>674230.44067796564</v>
      </c>
      <c r="D87" s="62">
        <f>D86*C55</f>
        <v>0.13219064935064936</v>
      </c>
      <c r="E87" s="62">
        <f>E86*C56</f>
        <v>0.2278430508474576</v>
      </c>
      <c r="F87" s="62">
        <f>F86*C58</f>
        <v>494056.66666666669</v>
      </c>
      <c r="G87" s="74"/>
      <c r="J87" s="76" t="s">
        <v>73</v>
      </c>
      <c r="K87" s="62">
        <f>(L38*E37+L39*F37)/SUM(L38,L39)</f>
        <v>90.97099236641219</v>
      </c>
      <c r="L87" s="62">
        <f>(L36*C37+L37*D37)/SUM(L36,L37)</f>
        <v>155.79999999999998</v>
      </c>
    </row>
    <row r="88" spans="1:12" x14ac:dyDescent="0.25">
      <c r="J88" s="76" t="s">
        <v>68</v>
      </c>
      <c r="K88" s="62">
        <f>(M38*E38+M39*F38)/SUM(M38,M39)</f>
        <v>183.97099236641219</v>
      </c>
      <c r="L88" s="62">
        <f>(M36*C38+M37*D38)/SUM(M36,M37)</f>
        <v>311.59999999999997</v>
      </c>
    </row>
    <row r="89" spans="1:12" x14ac:dyDescent="0.25">
      <c r="C89" s="62" t="s">
        <v>162</v>
      </c>
      <c r="J89" s="76" t="s">
        <v>96</v>
      </c>
      <c r="K89" s="62">
        <f>(N38*E39+N39*F39)/SUM(N38,N39)</f>
        <v>92.2</v>
      </c>
      <c r="L89" s="62">
        <f>(N36*C39+N37*D39)/SUM(N36,N37)</f>
        <v>155.79999999999998</v>
      </c>
    </row>
    <row r="90" spans="1:12" x14ac:dyDescent="0.25">
      <c r="B90" s="68" t="s">
        <v>163</v>
      </c>
      <c r="J90" s="68" t="s">
        <v>164</v>
      </c>
      <c r="K90" s="62"/>
      <c r="L90" s="62"/>
    </row>
    <row r="91" spans="1:12" ht="23.25" x14ac:dyDescent="0.25">
      <c r="C91" s="76" t="s">
        <v>165</v>
      </c>
      <c r="D91" s="76" t="s">
        <v>166</v>
      </c>
      <c r="E91" s="76" t="s">
        <v>167</v>
      </c>
      <c r="F91" s="76" t="s">
        <v>168</v>
      </c>
      <c r="G91" s="76" t="s">
        <v>169</v>
      </c>
      <c r="J91" s="76" t="s">
        <v>170</v>
      </c>
      <c r="K91" s="62">
        <f>SUMPRODUCT(C92:C95,N63:N66)</f>
        <v>1.9018330338239147E-5</v>
      </c>
      <c r="L91" s="62"/>
    </row>
    <row r="92" spans="1:12" ht="23.25" x14ac:dyDescent="0.25">
      <c r="B92" s="76" t="s">
        <v>70</v>
      </c>
      <c r="C92" s="62">
        <f>SUM($D$86:$E$86)/SUM($E$18:$E$21)*E18</f>
        <v>4.4067796610169488E-5</v>
      </c>
      <c r="D92" s="62" t="s">
        <v>171</v>
      </c>
      <c r="E92" s="62">
        <f>E18-C92</f>
        <v>259.99995593220336</v>
      </c>
      <c r="F92" s="62">
        <f>C92*L86</f>
        <v>9.3688135593220333E-3</v>
      </c>
      <c r="G92" s="62">
        <f>E92*K86</f>
        <v>38420.45150332513</v>
      </c>
      <c r="J92" s="76" t="s">
        <v>172</v>
      </c>
      <c r="K92" s="62">
        <f>E28-K91</f>
        <v>112.20812997728068</v>
      </c>
      <c r="L92" s="62"/>
    </row>
    <row r="93" spans="1:12" ht="23.25" x14ac:dyDescent="0.25">
      <c r="B93" s="76" t="s">
        <v>73</v>
      </c>
      <c r="C93" s="62">
        <f>SUM($D$86:$E$86)/SUM($E$18:$E$21)*E19</f>
        <v>7.457627118644068E-5</v>
      </c>
      <c r="D93" s="62" t="s">
        <v>171</v>
      </c>
      <c r="E93" s="62">
        <f>E19-C93</f>
        <v>439.99992542372883</v>
      </c>
      <c r="F93" s="62">
        <f>C93*L87</f>
        <v>1.1618983050847456E-2</v>
      </c>
      <c r="G93" s="62">
        <f>E93*K87</f>
        <v>40027.229856943966</v>
      </c>
      <c r="J93" s="76" t="s">
        <v>173</v>
      </c>
      <c r="K93" s="62">
        <f>D86*N74+E86*N75</f>
        <v>5.9918228346478049E-5</v>
      </c>
      <c r="L93" s="62"/>
    </row>
    <row r="94" spans="1:12" ht="23.25" x14ac:dyDescent="0.25">
      <c r="B94" s="76" t="s">
        <v>68</v>
      </c>
      <c r="C94" s="62">
        <f>SUM($D$86:$E$86)/SUM($E$18:$E$21)*E20</f>
        <v>6.9491525423728807E-4</v>
      </c>
      <c r="D94" s="62" t="s">
        <v>171</v>
      </c>
      <c r="E94" s="62">
        <f>E20-C94</f>
        <v>4099.9993050847461</v>
      </c>
      <c r="F94" s="62">
        <f>C94*L88</f>
        <v>0.21653559322033894</v>
      </c>
      <c r="G94" s="62">
        <f>E94*K88</f>
        <v>754280.94085804105</v>
      </c>
      <c r="J94" s="76" t="s">
        <v>174</v>
      </c>
      <c r="K94" s="62">
        <f>E29-K93</f>
        <v>112.20808907738267</v>
      </c>
      <c r="L94" s="62"/>
    </row>
    <row r="95" spans="1:12" x14ac:dyDescent="0.25">
      <c r="B95" s="76" t="s">
        <v>96</v>
      </c>
      <c r="C95" s="62">
        <f>SUM($D$86:$E$86)/SUM($E$18:$E$21)*E21</f>
        <v>1.1864406779661016E-3</v>
      </c>
      <c r="D95" s="62" t="s">
        <v>171</v>
      </c>
      <c r="E95" s="62">
        <f>E21-C95</f>
        <v>6999.9988135593221</v>
      </c>
      <c r="F95" s="62">
        <f>C95*L89</f>
        <v>0.18484745762711863</v>
      </c>
      <c r="G95" s="62">
        <f>E95*K89</f>
        <v>645399.8906101695</v>
      </c>
      <c r="H95" s="69"/>
      <c r="J95" s="77" t="s">
        <v>175</v>
      </c>
      <c r="K95" s="62">
        <f>K92+K94</f>
        <v>224.41621905466334</v>
      </c>
      <c r="L95" s="62"/>
    </row>
    <row r="96" spans="1:12" x14ac:dyDescent="0.25">
      <c r="B96" s="76"/>
      <c r="C96" s="62"/>
      <c r="D96" s="62"/>
      <c r="E96" s="62"/>
      <c r="F96" s="62"/>
      <c r="G96" s="62"/>
      <c r="J96" s="77" t="s">
        <v>176</v>
      </c>
      <c r="K96" s="62">
        <f>K91+K93</f>
        <v>7.89365586847172E-5</v>
      </c>
      <c r="L96" s="62"/>
    </row>
    <row r="97" spans="2:12" x14ac:dyDescent="0.25">
      <c r="B97" s="76" t="s">
        <v>177</v>
      </c>
      <c r="C97" s="62">
        <f>SUM(C92:C95)</f>
        <v>2E-3</v>
      </c>
      <c r="D97" s="62"/>
      <c r="E97" s="62">
        <f>SUM(E92:E95)</f>
        <v>11799.998</v>
      </c>
      <c r="F97" s="62">
        <f>SUM(F92:F95)</f>
        <v>0.42237084745762704</v>
      </c>
      <c r="G97" s="62">
        <f>SUM(G92:G95)</f>
        <v>1478128.5128284795</v>
      </c>
    </row>
    <row r="98" spans="2:12" x14ac:dyDescent="0.25">
      <c r="B98" s="76"/>
      <c r="C98" s="62"/>
      <c r="D98" s="62"/>
      <c r="E98" s="62"/>
      <c r="F98" s="62"/>
      <c r="G98" s="62"/>
    </row>
    <row r="99" spans="2:12" x14ac:dyDescent="0.25">
      <c r="B99" s="76" t="s">
        <v>178</v>
      </c>
      <c r="C99" s="62">
        <f>SUM(D86:E86)</f>
        <v>2E-3</v>
      </c>
      <c r="D99" s="62"/>
      <c r="E99" s="62"/>
      <c r="F99" s="62"/>
      <c r="G99" s="62"/>
    </row>
    <row r="100" spans="2:12" x14ac:dyDescent="0.25">
      <c r="B100" s="76"/>
    </row>
    <row r="101" spans="2:12" x14ac:dyDescent="0.25">
      <c r="B101" s="76"/>
    </row>
    <row r="102" spans="2:12" x14ac:dyDescent="0.25">
      <c r="B102" s="68" t="s">
        <v>179</v>
      </c>
      <c r="J102" s="68" t="s">
        <v>180</v>
      </c>
    </row>
    <row r="103" spans="2:12" x14ac:dyDescent="0.25">
      <c r="B103" s="76" t="s">
        <v>169</v>
      </c>
      <c r="C103" s="78"/>
      <c r="D103" s="62">
        <f>G97</f>
        <v>1478128.5128284795</v>
      </c>
      <c r="E103" s="62"/>
      <c r="J103" s="79" t="s">
        <v>181</v>
      </c>
      <c r="K103" s="80"/>
      <c r="L103" s="81"/>
    </row>
    <row r="104" spans="2:12" x14ac:dyDescent="0.25">
      <c r="B104" s="76" t="s">
        <v>182</v>
      </c>
      <c r="C104" s="78"/>
      <c r="D104" s="62">
        <f>C87+F87</f>
        <v>1168287.1073446323</v>
      </c>
      <c r="E104" s="62"/>
      <c r="J104" s="82" t="s">
        <v>183</v>
      </c>
      <c r="K104" s="83">
        <f>K95*10^6/D105</f>
        <v>84.800065924634865</v>
      </c>
      <c r="L104" s="84" t="s">
        <v>184</v>
      </c>
    </row>
    <row r="105" spans="2:12" x14ac:dyDescent="0.25">
      <c r="B105" s="77" t="s">
        <v>185</v>
      </c>
      <c r="C105" s="78"/>
      <c r="D105" s="62">
        <f>SUM(D103:D104)</f>
        <v>2646415.6201731116</v>
      </c>
      <c r="E105" s="62"/>
      <c r="J105" s="82" t="s">
        <v>186</v>
      </c>
      <c r="K105" s="83">
        <f>K96*10^6/D108</f>
        <v>100.88969820181835</v>
      </c>
      <c r="L105" s="84" t="s">
        <v>187</v>
      </c>
    </row>
    <row r="106" spans="2:12" x14ac:dyDescent="0.25">
      <c r="B106" s="76" t="s">
        <v>188</v>
      </c>
      <c r="C106" s="78"/>
      <c r="D106" s="62">
        <f>F97</f>
        <v>0.42237084745762704</v>
      </c>
      <c r="E106" s="62"/>
      <c r="J106" s="82" t="s">
        <v>189</v>
      </c>
      <c r="K106" s="85">
        <f>2*(ABS(K104-K105))/(K104+K105)</f>
        <v>0.17329584485040947</v>
      </c>
      <c r="L106" s="84" t="s">
        <v>190</v>
      </c>
    </row>
    <row r="107" spans="2:12" x14ac:dyDescent="0.25">
      <c r="B107" s="76" t="s">
        <v>191</v>
      </c>
      <c r="C107" s="78"/>
      <c r="D107" s="62">
        <f>SUM(D87:E87)</f>
        <v>0.36003370019810699</v>
      </c>
      <c r="E107" s="62"/>
    </row>
    <row r="108" spans="2:12" x14ac:dyDescent="0.25">
      <c r="B108" s="77" t="s">
        <v>192</v>
      </c>
      <c r="C108" s="78"/>
      <c r="D108" s="62">
        <f>SUM(D106:D107)</f>
        <v>0.78240454765573397</v>
      </c>
      <c r="E108" s="62"/>
    </row>
    <row r="109" spans="2:12" x14ac:dyDescent="0.25">
      <c r="D109" s="62"/>
      <c r="E109" s="62"/>
    </row>
    <row r="110" spans="2:12" x14ac:dyDescent="0.25">
      <c r="D110" s="62"/>
      <c r="E110" s="62"/>
    </row>
  </sheetData>
  <conditionalFormatting sqref="K106">
    <cfRule type="cellIs" dxfId="47" priority="1" operator="lessThan">
      <formula>0.1</formula>
    </cfRule>
    <cfRule type="cellIs" dxfId="46" priority="2" operator="greaterThan">
      <formula>0.1</formula>
    </cfRule>
  </conditionalFormatting>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C67E2F329F30740B1DCE35FCE06185D" ma:contentTypeVersion="13" ma:contentTypeDescription="Opret et nyt dokument." ma:contentTypeScope="" ma:versionID="96c6023a0ad2f37ae4654b24e035abe3">
  <xsd:schema xmlns:xsd="http://www.w3.org/2001/XMLSchema" xmlns:xs="http://www.w3.org/2001/XMLSchema" xmlns:p="http://schemas.microsoft.com/office/2006/metadata/properties" xmlns:ns3="b2606f06-bfe5-438b-8e3f-4057c185639a" xmlns:ns4="8c1001e6-c40a-4457-a8ca-d1512f0cd318" targetNamespace="http://schemas.microsoft.com/office/2006/metadata/properties" ma:root="true" ma:fieldsID="a8c87fa7dec2c0bb3b339d6cb50522a0" ns3:_="" ns4:_="">
    <xsd:import namespace="b2606f06-bfe5-438b-8e3f-4057c185639a"/>
    <xsd:import namespace="8c1001e6-c40a-4457-a8ca-d1512f0cd3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606f06-bfe5-438b-8e3f-4057c18563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1001e6-c40a-4457-a8ca-d1512f0cd318"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element name="SharingHintHash" ma:index="14"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9147B6-1E3B-42BB-9F09-F4C288FADB24}">
  <ds:schemaRefs>
    <ds:schemaRef ds:uri="http://schemas.microsoft.com/sharepoint/v3/contenttype/forms"/>
  </ds:schemaRefs>
</ds:datastoreItem>
</file>

<file path=customXml/itemProps2.xml><?xml version="1.0" encoding="utf-8"?>
<ds:datastoreItem xmlns:ds="http://schemas.openxmlformats.org/officeDocument/2006/customXml" ds:itemID="{A8B5989D-5D0C-401C-A89D-ADB67EA293FD}">
  <ds:schemaRefs>
    <ds:schemaRef ds:uri="b2606f06-bfe5-438b-8e3f-4057c185639a"/>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8c1001e6-c40a-4457-a8ca-d1512f0cd318"/>
    <ds:schemaRef ds:uri="http://www.w3.org/XML/1998/namespace"/>
    <ds:schemaRef ds:uri="http://purl.org/dc/dcmitype/"/>
  </ds:schemaRefs>
</ds:datastoreItem>
</file>

<file path=customXml/itemProps3.xml><?xml version="1.0" encoding="utf-8"?>
<ds:datastoreItem xmlns:ds="http://schemas.openxmlformats.org/officeDocument/2006/customXml" ds:itemID="{D76BD8E0-0A83-4B07-A5AF-E89713D1CC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606f06-bfe5-438b-8e3f-4057c185639a"/>
    <ds:schemaRef ds:uri="8c1001e6-c40a-4457-a8ca-d1512f0cd3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39</vt:i4>
      </vt:variant>
      <vt:variant>
        <vt:lpstr>Navngivne områder</vt:lpstr>
      </vt:variant>
      <vt:variant>
        <vt:i4>6</vt:i4>
      </vt:variant>
    </vt:vector>
  </HeadingPairs>
  <TitlesOfParts>
    <vt:vector size="45" baseType="lpstr">
      <vt:lpstr>Introduction</vt:lpstr>
      <vt:lpstr>1. Sensitivity input</vt:lpstr>
      <vt:lpstr>2. Input</vt:lpstr>
      <vt:lpstr>3. Charts</vt:lpstr>
      <vt:lpstr>4. Transportation costs example</vt:lpstr>
      <vt:lpstr>Input (raw)</vt:lpstr>
      <vt:lpstr>Costbase</vt:lpstr>
      <vt:lpstr>5. Tariff methodology overview</vt:lpstr>
      <vt:lpstr>1. CWD_CAA_cap_20</vt:lpstr>
      <vt:lpstr>2. CAA_cap_UniformTarif_20</vt:lpstr>
      <vt:lpstr>3. CAA_cap_20Tarif</vt:lpstr>
      <vt:lpstr>4. CAA_comm_20</vt:lpstr>
      <vt:lpstr>5. Current tariff method 20</vt:lpstr>
      <vt:lpstr>Forecasted Capacities</vt:lpstr>
      <vt:lpstr>6. CWD_CAA_cap_21</vt:lpstr>
      <vt:lpstr>7. CAA_comm_21</vt:lpstr>
      <vt:lpstr>8. CAA_cap_UniformTarif_21</vt:lpstr>
      <vt:lpstr>9. CAA_cap_21_currentTariff</vt:lpstr>
      <vt:lpstr>10. Current tariff method 21</vt:lpstr>
      <vt:lpstr>11. CWD_CAA_cap_22</vt:lpstr>
      <vt:lpstr>12. CAA_comm_22</vt:lpstr>
      <vt:lpstr>13. CAA_cap_UniformTarif_22</vt:lpstr>
      <vt:lpstr>14. CAA_cap_22_currentTariff</vt:lpstr>
      <vt:lpstr>15. Current tariff method 22</vt:lpstr>
      <vt:lpstr>16. CWD_CAA_cap_23</vt:lpstr>
      <vt:lpstr>17. CAA_cap_UniformTarif_23</vt:lpstr>
      <vt:lpstr>18. CAA_cap_23_currentTarif</vt:lpstr>
      <vt:lpstr>19. CAA_comm_23</vt:lpstr>
      <vt:lpstr>20. Current tariff method 23</vt:lpstr>
      <vt:lpstr>21. CWD_CAA_cap_24</vt:lpstr>
      <vt:lpstr>22. CAA_cap_UniformTarif_24</vt:lpstr>
      <vt:lpstr>23. CAA_cap_24_currentTarif</vt:lpstr>
      <vt:lpstr>24. CAA_comm_24</vt:lpstr>
      <vt:lpstr>25. Current tariff method 24</vt:lpstr>
      <vt:lpstr>26. CWD_CAA_cap_25</vt:lpstr>
      <vt:lpstr>27. CAA_cap_UniformTarif_25</vt:lpstr>
      <vt:lpstr>28. CAA_cap_25_currentTarif</vt:lpstr>
      <vt:lpstr>29. CAA_comm_25</vt:lpstr>
      <vt:lpstr>30. Current tariff method 25</vt:lpstr>
      <vt:lpstr>'1. Sensitivity input'!Udskriftsområde</vt:lpstr>
      <vt:lpstr>'2. Input'!Udskriftsområde</vt:lpstr>
      <vt:lpstr>'3. Charts'!Udskriftsområde</vt:lpstr>
      <vt:lpstr>'4. Transportation costs example'!Udskriftsområde</vt:lpstr>
      <vt:lpstr>'5. Tariff methodology overview'!Udskriftsområde</vt:lpstr>
      <vt:lpstr>Introduction!Udskriftsområde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Løgstrup, Kristian</dc:creator>
  <cp:lastModifiedBy>Nina Synnest Sinvani</cp:lastModifiedBy>
  <cp:lastPrinted>2018-08-02T13:13:55Z</cp:lastPrinted>
  <dcterms:created xsi:type="dcterms:W3CDTF">2018-08-02T12:59:36Z</dcterms:created>
  <dcterms:modified xsi:type="dcterms:W3CDTF">2020-10-07T07:50:00Z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0x0101009C67E2F329F30740B1DCE35FCE06185D</vt:lpwstr>
  </property>
</Properties>
</file>