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energinet.local\userdata\Users05\cmj\Desktop\"/>
    </mc:Choice>
  </mc:AlternateContent>
  <bookViews>
    <workbookView xWindow="0" yWindow="0" windowWidth="28800" windowHeight="14220"/>
  </bookViews>
  <sheets>
    <sheet name="Seasonal factors" sheetId="6" r:id="rId1"/>
  </sheets>
  <calcPr calcId="171027"/>
</workbook>
</file>

<file path=xl/calcChain.xml><?xml version="1.0" encoding="utf-8"?>
<calcChain xmlns="http://schemas.openxmlformats.org/spreadsheetml/2006/main">
  <c r="E7" i="6" l="1"/>
  <c r="D7" i="6"/>
  <c r="C7" i="6"/>
  <c r="E33" i="6" l="1"/>
  <c r="E34" i="6"/>
  <c r="E35" i="6"/>
  <c r="E36" i="6"/>
  <c r="E37" i="6"/>
  <c r="E38" i="6"/>
  <c r="E39" i="6"/>
  <c r="E40" i="6"/>
  <c r="E41" i="6"/>
  <c r="E42" i="6"/>
  <c r="E43" i="6"/>
  <c r="E32" i="6"/>
  <c r="A32" i="6" l="1"/>
  <c r="A33" i="6" s="1"/>
  <c r="A34" i="6" s="1"/>
  <c r="A35" i="6" s="1"/>
  <c r="A36" i="6" s="1"/>
  <c r="A37" i="6" s="1"/>
  <c r="A38" i="6" s="1"/>
  <c r="A39" i="6" s="1"/>
  <c r="A40" i="6" s="1"/>
  <c r="G40" i="6" s="1"/>
  <c r="G39" i="6" l="1"/>
  <c r="G32" i="6"/>
  <c r="G34" i="6"/>
  <c r="G35" i="6"/>
  <c r="G36" i="6"/>
  <c r="G33" i="6"/>
  <c r="G37" i="6"/>
  <c r="G38" i="6"/>
  <c r="A41" i="6"/>
  <c r="G50" i="6"/>
  <c r="G51" i="6"/>
  <c r="E103" i="6"/>
  <c r="G103" i="6"/>
  <c r="I103" i="6"/>
  <c r="E104" i="6"/>
  <c r="G104" i="6"/>
  <c r="I104" i="6"/>
  <c r="E105" i="6"/>
  <c r="G105" i="6"/>
  <c r="I105" i="6"/>
  <c r="E106" i="6"/>
  <c r="G106" i="6"/>
  <c r="I106" i="6"/>
  <c r="E107" i="6"/>
  <c r="G107" i="6"/>
  <c r="I107" i="6"/>
  <c r="E108" i="6"/>
  <c r="G108" i="6"/>
  <c r="I108" i="6"/>
  <c r="E109" i="6"/>
  <c r="G109" i="6"/>
  <c r="I109" i="6"/>
  <c r="E110" i="6"/>
  <c r="G110" i="6"/>
  <c r="I110" i="6"/>
  <c r="E111" i="6"/>
  <c r="G111" i="6"/>
  <c r="I111" i="6"/>
  <c r="E112" i="6"/>
  <c r="G112" i="6"/>
  <c r="I112" i="6"/>
  <c r="E113" i="6"/>
  <c r="G113" i="6"/>
  <c r="I113" i="6"/>
  <c r="E114" i="6"/>
  <c r="G114" i="6"/>
  <c r="I114" i="6"/>
  <c r="A42" i="6" l="1"/>
  <c r="G41" i="6"/>
  <c r="G67" i="6"/>
  <c r="G68" i="6"/>
  <c r="G69" i="6"/>
  <c r="G70" i="6"/>
  <c r="G71" i="6"/>
  <c r="G72" i="6"/>
  <c r="G73" i="6"/>
  <c r="G74" i="6"/>
  <c r="G75" i="6"/>
  <c r="G76" i="6"/>
  <c r="G77" i="6"/>
  <c r="G66" i="6"/>
  <c r="G52" i="6"/>
  <c r="G53" i="6"/>
  <c r="G54" i="6"/>
  <c r="G55" i="6"/>
  <c r="G56" i="6"/>
  <c r="G57" i="6"/>
  <c r="G58" i="6"/>
  <c r="G59" i="6"/>
  <c r="G60" i="6"/>
  <c r="G49" i="6"/>
  <c r="A43" i="6" l="1"/>
  <c r="G42" i="6"/>
  <c r="A49" i="6"/>
  <c r="A50" i="6" s="1"/>
  <c r="A51" i="6" s="1"/>
  <c r="A52" i="6" s="1"/>
  <c r="A53" i="6" s="1"/>
  <c r="A54" i="6" s="1"/>
  <c r="A55" i="6" s="1"/>
  <c r="A56" i="6" s="1"/>
  <c r="A57" i="6" s="1"/>
  <c r="A58" i="6" s="1"/>
  <c r="A59" i="6" s="1"/>
  <c r="A60" i="6" s="1"/>
  <c r="G43" i="6" l="1"/>
  <c r="J104" i="6"/>
  <c r="J105" i="6"/>
  <c r="J106" i="6"/>
  <c r="J107" i="6"/>
  <c r="J108" i="6"/>
  <c r="J109" i="6"/>
  <c r="J110" i="6"/>
  <c r="J111" i="6"/>
  <c r="J112" i="6"/>
  <c r="J113" i="6"/>
  <c r="J114" i="6"/>
  <c r="J103" i="6"/>
  <c r="A66" i="6" l="1"/>
  <c r="A67" i="6" l="1"/>
  <c r="A68" i="6" s="1"/>
  <c r="A69" i="6" l="1"/>
  <c r="A70" i="6" l="1"/>
  <c r="A71" i="6" l="1"/>
  <c r="A72" i="6" l="1"/>
  <c r="A73" i="6" l="1"/>
  <c r="A74" i="6" l="1"/>
  <c r="A75" i="6" l="1"/>
  <c r="A76" i="6" l="1"/>
  <c r="A77" i="6" l="1"/>
  <c r="C26" i="6" l="1"/>
  <c r="E14" i="6" l="1"/>
  <c r="F14" i="6" s="1"/>
  <c r="G14" i="6" s="1"/>
  <c r="C66" i="6" s="1"/>
  <c r="D19" i="6"/>
  <c r="D20" i="6"/>
  <c r="D21" i="6"/>
  <c r="D22" i="6"/>
  <c r="D15" i="6"/>
  <c r="D16" i="6"/>
  <c r="D25" i="6"/>
  <c r="D14" i="6"/>
  <c r="D23" i="6"/>
  <c r="D24" i="6"/>
  <c r="D17" i="6"/>
  <c r="D18" i="6"/>
  <c r="E15" i="6"/>
  <c r="E20" i="6"/>
  <c r="F20" i="6" s="1"/>
  <c r="G20" i="6" s="1"/>
  <c r="C55" i="6" s="1"/>
  <c r="E19" i="6"/>
  <c r="C49" i="6" l="1"/>
  <c r="E23" i="6"/>
  <c r="F23" i="6" s="1"/>
  <c r="G23" i="6" s="1"/>
  <c r="C58" i="6" l="1"/>
  <c r="E18" i="6"/>
  <c r="F18" i="6" s="1"/>
  <c r="G18" i="6" s="1"/>
  <c r="C53" i="6" s="1"/>
  <c r="C75" i="6"/>
  <c r="E17" i="6"/>
  <c r="F17" i="6" s="1"/>
  <c r="G17" i="6" s="1"/>
  <c r="E22" i="6"/>
  <c r="F22" i="6" s="1"/>
  <c r="G22" i="6" s="1"/>
  <c r="E21" i="6"/>
  <c r="F21" i="6" s="1"/>
  <c r="G21" i="6" s="1"/>
  <c r="E25" i="6"/>
  <c r="F25" i="6" s="1"/>
  <c r="G25" i="6" s="1"/>
  <c r="E16" i="6"/>
  <c r="F16" i="6" s="1"/>
  <c r="G16" i="6" s="1"/>
  <c r="E24" i="6"/>
  <c r="F24" i="6" s="1"/>
  <c r="G24" i="6" s="1"/>
  <c r="F15" i="6"/>
  <c r="G15" i="6" s="1"/>
  <c r="F19" i="6"/>
  <c r="G19" i="6" s="1"/>
  <c r="K24" i="6" l="1"/>
  <c r="J24" i="6"/>
  <c r="H42" i="6" s="1"/>
  <c r="J42" i="6" s="1"/>
  <c r="K42" i="6" s="1"/>
  <c r="L42" i="6" s="1"/>
  <c r="M86" i="6" s="1"/>
  <c r="M90" i="6" s="1"/>
  <c r="J25" i="6"/>
  <c r="K23" i="6"/>
  <c r="K20" i="6"/>
  <c r="I20" i="6"/>
  <c r="J22" i="6"/>
  <c r="J21" i="6"/>
  <c r="J20" i="6"/>
  <c r="K22" i="6"/>
  <c r="I22" i="6"/>
  <c r="K21" i="6"/>
  <c r="I21" i="6"/>
  <c r="I25" i="6"/>
  <c r="I24" i="6"/>
  <c r="K25" i="6"/>
  <c r="I23" i="6"/>
  <c r="K19" i="6"/>
  <c r="K18" i="6"/>
  <c r="I18" i="6"/>
  <c r="K17" i="6"/>
  <c r="I17" i="6"/>
  <c r="J19" i="6"/>
  <c r="J18" i="6"/>
  <c r="J17" i="6"/>
  <c r="I19" i="6"/>
  <c r="J16" i="6"/>
  <c r="J14" i="6"/>
  <c r="K16" i="6"/>
  <c r="I16" i="6"/>
  <c r="K15" i="6"/>
  <c r="I15" i="6"/>
  <c r="K14" i="6"/>
  <c r="I14" i="6"/>
  <c r="J15" i="6"/>
  <c r="J23" i="6"/>
  <c r="C52" i="6"/>
  <c r="C56" i="6"/>
  <c r="C57" i="6"/>
  <c r="C54" i="6"/>
  <c r="C50" i="6"/>
  <c r="C59" i="6"/>
  <c r="C51" i="6"/>
  <c r="C60" i="6"/>
  <c r="C70" i="6"/>
  <c r="C72" i="6"/>
  <c r="C68" i="6"/>
  <c r="C69" i="6"/>
  <c r="C67" i="6"/>
  <c r="C77" i="6"/>
  <c r="C76" i="6"/>
  <c r="C73" i="6"/>
  <c r="C74" i="6"/>
  <c r="C71" i="6"/>
  <c r="C42" i="6" l="1"/>
  <c r="C35" i="6"/>
  <c r="H35" i="6"/>
  <c r="J35" i="6" s="1"/>
  <c r="K35" i="6" s="1"/>
  <c r="L35" i="6" s="1"/>
  <c r="R86" i="6" s="1"/>
  <c r="R90" i="6" s="1"/>
  <c r="C43" i="6"/>
  <c r="H43" i="6"/>
  <c r="J43" i="6" s="1"/>
  <c r="K43" i="6" s="1"/>
  <c r="L43" i="6" s="1"/>
  <c r="N86" i="6" s="1"/>
  <c r="N90" i="6" s="1"/>
  <c r="C38" i="6"/>
  <c r="H38" i="6"/>
  <c r="J38" i="6" s="1"/>
  <c r="K38" i="6" s="1"/>
  <c r="L38" i="6" s="1"/>
  <c r="U86" i="6" s="1"/>
  <c r="U90" i="6" s="1"/>
  <c r="C33" i="6"/>
  <c r="H33" i="6"/>
  <c r="J33" i="6" s="1"/>
  <c r="K33" i="6" s="1"/>
  <c r="L33" i="6" s="1"/>
  <c r="P86" i="6" s="1"/>
  <c r="P90" i="6" s="1"/>
  <c r="C39" i="6"/>
  <c r="H39" i="6"/>
  <c r="J39" i="6" s="1"/>
  <c r="K39" i="6" s="1"/>
  <c r="L39" i="6" s="1"/>
  <c r="V86" i="6" s="1"/>
  <c r="V90" i="6" s="1"/>
  <c r="C36" i="6"/>
  <c r="H36" i="6"/>
  <c r="J36" i="6" s="1"/>
  <c r="K36" i="6" s="1"/>
  <c r="L36" i="6" s="1"/>
  <c r="S86" i="6" s="1"/>
  <c r="S90" i="6" s="1"/>
  <c r="H40" i="6"/>
  <c r="J40" i="6" s="1"/>
  <c r="K40" i="6" s="1"/>
  <c r="L40" i="6" s="1"/>
  <c r="W86" i="6" s="1"/>
  <c r="W90" i="6" s="1"/>
  <c r="C40" i="6"/>
  <c r="C37" i="6"/>
  <c r="H37" i="6"/>
  <c r="J37" i="6" s="1"/>
  <c r="K37" i="6" s="1"/>
  <c r="L37" i="6" s="1"/>
  <c r="T86" i="6" s="1"/>
  <c r="T90" i="6" s="1"/>
  <c r="C34" i="6"/>
  <c r="H34" i="6"/>
  <c r="J34" i="6" s="1"/>
  <c r="K34" i="6" s="1"/>
  <c r="L34" i="6" s="1"/>
  <c r="Q86" i="6" s="1"/>
  <c r="Q90" i="6" s="1"/>
  <c r="C32" i="6"/>
  <c r="H32" i="6"/>
  <c r="J32" i="6" s="1"/>
  <c r="K32" i="6" s="1"/>
  <c r="L32" i="6" s="1"/>
  <c r="O86" i="6" s="1"/>
  <c r="O90" i="6" s="1"/>
  <c r="C41" i="6"/>
  <c r="H41" i="6"/>
  <c r="J41" i="6" s="1"/>
  <c r="K41" i="6" s="1"/>
  <c r="L41" i="6" s="1"/>
  <c r="L86" i="6" s="1"/>
  <c r="L90" i="6" s="1"/>
  <c r="C61" i="6"/>
  <c r="C78" i="6"/>
  <c r="D94" i="6" l="1"/>
  <c r="D95" i="6"/>
  <c r="D96" i="6"/>
  <c r="D85" i="6"/>
  <c r="D87" i="6"/>
  <c r="D86" i="6"/>
  <c r="C44" i="6"/>
  <c r="D90" i="6"/>
  <c r="D88" i="6"/>
  <c r="D89" i="6"/>
  <c r="D91" i="6"/>
  <c r="D92" i="6"/>
  <c r="D93" i="6"/>
  <c r="H67" i="6"/>
  <c r="J67" i="6" s="1"/>
  <c r="H66" i="6"/>
  <c r="J66" i="6" s="1"/>
  <c r="K66" i="6" s="1"/>
  <c r="L66" i="6" s="1"/>
  <c r="O88" i="6" s="1"/>
  <c r="O92" i="6" s="1"/>
  <c r="H70" i="6"/>
  <c r="J70" i="6" s="1"/>
  <c r="H77" i="6"/>
  <c r="J77" i="6" s="1"/>
  <c r="H68" i="6"/>
  <c r="J68" i="6" s="1"/>
  <c r="H76" i="6"/>
  <c r="J76" i="6" s="1"/>
  <c r="H72" i="6"/>
  <c r="J72" i="6" s="1"/>
  <c r="H69" i="6"/>
  <c r="J69" i="6" s="1"/>
  <c r="H71" i="6"/>
  <c r="J71" i="6" s="1"/>
  <c r="H73" i="6"/>
  <c r="J73" i="6" s="1"/>
  <c r="H74" i="6"/>
  <c r="J74" i="6" s="1"/>
  <c r="H75" i="6"/>
  <c r="J75" i="6" s="1"/>
  <c r="E49" i="6"/>
  <c r="H49" i="6" s="1"/>
  <c r="J49" i="6" s="1"/>
  <c r="K49" i="6" s="1"/>
  <c r="L49" i="6" s="1"/>
  <c r="O87" i="6" s="1"/>
  <c r="O91" i="6" s="1"/>
  <c r="E77" i="6"/>
  <c r="E51" i="6" l="1"/>
  <c r="H51" i="6" s="1"/>
  <c r="J51" i="6" s="1"/>
  <c r="K51" i="6" s="1"/>
  <c r="E58" i="6"/>
  <c r="H58" i="6" s="1"/>
  <c r="J58" i="6" s="1"/>
  <c r="K58" i="6" s="1"/>
  <c r="E56" i="6"/>
  <c r="H56" i="6" s="1"/>
  <c r="J56" i="6" s="1"/>
  <c r="K56" i="6" s="1"/>
  <c r="E50" i="6"/>
  <c r="H50" i="6" s="1"/>
  <c r="J50" i="6" s="1"/>
  <c r="K50" i="6" s="1"/>
  <c r="E57" i="6"/>
  <c r="H57" i="6" s="1"/>
  <c r="J57" i="6" s="1"/>
  <c r="K57" i="6" s="1"/>
  <c r="F85" i="6"/>
  <c r="F103" i="6" s="1"/>
  <c r="E52" i="6"/>
  <c r="H52" i="6" s="1"/>
  <c r="J52" i="6" s="1"/>
  <c r="K52" i="6" s="1"/>
  <c r="E53" i="6"/>
  <c r="H53" i="6" s="1"/>
  <c r="J53" i="6" s="1"/>
  <c r="K53" i="6" s="1"/>
  <c r="D107" i="6"/>
  <c r="E59" i="6"/>
  <c r="H59" i="6" s="1"/>
  <c r="J59" i="6" s="1"/>
  <c r="K59" i="6" s="1"/>
  <c r="K71" i="6"/>
  <c r="K69" i="6"/>
  <c r="K70" i="6"/>
  <c r="K76" i="6"/>
  <c r="K67" i="6"/>
  <c r="K75" i="6"/>
  <c r="K77" i="6"/>
  <c r="K74" i="6"/>
  <c r="K68" i="6"/>
  <c r="K73" i="6"/>
  <c r="K72" i="6"/>
  <c r="E55" i="6"/>
  <c r="H55" i="6" s="1"/>
  <c r="J55" i="6" s="1"/>
  <c r="K55" i="6" s="1"/>
  <c r="E60" i="6"/>
  <c r="H60" i="6" s="1"/>
  <c r="J60" i="6" s="1"/>
  <c r="K60" i="6" s="1"/>
  <c r="E68" i="6"/>
  <c r="E76" i="6"/>
  <c r="E72" i="6"/>
  <c r="E71" i="6"/>
  <c r="E75" i="6"/>
  <c r="E69" i="6"/>
  <c r="E73" i="6"/>
  <c r="E67" i="6"/>
  <c r="E74" i="6"/>
  <c r="E70" i="6"/>
  <c r="E66" i="6"/>
  <c r="H85" i="6" s="1"/>
  <c r="H103" i="6" s="1"/>
  <c r="E54" i="6"/>
  <c r="H54" i="6" s="1"/>
  <c r="J54" i="6" s="1"/>
  <c r="K54" i="6" s="1"/>
  <c r="F88" i="6" l="1"/>
  <c r="F106" i="6" s="1"/>
  <c r="L52" i="6"/>
  <c r="R87" i="6" s="1"/>
  <c r="R91" i="6" s="1"/>
  <c r="H94" i="6"/>
  <c r="H112" i="6" s="1"/>
  <c r="L75" i="6"/>
  <c r="L88" i="6" s="1"/>
  <c r="L92" i="6" s="1"/>
  <c r="F89" i="6"/>
  <c r="F107" i="6" s="1"/>
  <c r="L53" i="6"/>
  <c r="S87" i="6" s="1"/>
  <c r="S91" i="6" s="1"/>
  <c r="H91" i="6"/>
  <c r="H109" i="6" s="1"/>
  <c r="L72" i="6"/>
  <c r="U88" i="6" s="1"/>
  <c r="U92" i="6" s="1"/>
  <c r="H89" i="6"/>
  <c r="H107" i="6" s="1"/>
  <c r="L70" i="6"/>
  <c r="S88" i="6" s="1"/>
  <c r="S92" i="6" s="1"/>
  <c r="F93" i="6"/>
  <c r="F111" i="6" s="1"/>
  <c r="L57" i="6"/>
  <c r="W87" i="6" s="1"/>
  <c r="W91" i="6" s="1"/>
  <c r="H92" i="6"/>
  <c r="H110" i="6" s="1"/>
  <c r="L73" i="6"/>
  <c r="V88" i="6" s="1"/>
  <c r="V92" i="6" s="1"/>
  <c r="H88" i="6"/>
  <c r="H106" i="6" s="1"/>
  <c r="L69" i="6"/>
  <c r="R88" i="6" s="1"/>
  <c r="R92" i="6" s="1"/>
  <c r="F86" i="6"/>
  <c r="F104" i="6" s="1"/>
  <c r="L50" i="6"/>
  <c r="P87" i="6" s="1"/>
  <c r="P91" i="6" s="1"/>
  <c r="F91" i="6"/>
  <c r="F109" i="6" s="1"/>
  <c r="L55" i="6"/>
  <c r="U87" i="6" s="1"/>
  <c r="U91" i="6" s="1"/>
  <c r="H95" i="6"/>
  <c r="H113" i="6" s="1"/>
  <c r="L76" i="6"/>
  <c r="M88" i="6" s="1"/>
  <c r="M92" i="6" s="1"/>
  <c r="F90" i="6"/>
  <c r="F108" i="6" s="1"/>
  <c r="L54" i="6"/>
  <c r="T87" i="6" s="1"/>
  <c r="T91" i="6" s="1"/>
  <c r="H87" i="6"/>
  <c r="H105" i="6" s="1"/>
  <c r="L68" i="6"/>
  <c r="Q88" i="6" s="1"/>
  <c r="Q92" i="6" s="1"/>
  <c r="H90" i="6"/>
  <c r="H108" i="6" s="1"/>
  <c r="L71" i="6"/>
  <c r="T88" i="6" s="1"/>
  <c r="T92" i="6" s="1"/>
  <c r="F92" i="6"/>
  <c r="F110" i="6" s="1"/>
  <c r="L56" i="6"/>
  <c r="V87" i="6" s="1"/>
  <c r="V91" i="6" s="1"/>
  <c r="F96" i="6"/>
  <c r="F114" i="6" s="1"/>
  <c r="L60" i="6"/>
  <c r="N87" i="6" s="1"/>
  <c r="N91" i="6" s="1"/>
  <c r="H86" i="6"/>
  <c r="H104" i="6" s="1"/>
  <c r="L67" i="6"/>
  <c r="P88" i="6" s="1"/>
  <c r="P92" i="6" s="1"/>
  <c r="H93" i="6"/>
  <c r="H111" i="6" s="1"/>
  <c r="L74" i="6"/>
  <c r="W88" i="6" s="1"/>
  <c r="W92" i="6" s="1"/>
  <c r="F95" i="6"/>
  <c r="F113" i="6" s="1"/>
  <c r="L59" i="6"/>
  <c r="M87" i="6" s="1"/>
  <c r="M91" i="6" s="1"/>
  <c r="F94" i="6"/>
  <c r="F112" i="6" s="1"/>
  <c r="L58" i="6"/>
  <c r="L87" i="6" s="1"/>
  <c r="L91" i="6" s="1"/>
  <c r="H96" i="6"/>
  <c r="H114" i="6" s="1"/>
  <c r="L77" i="6"/>
  <c r="N88" i="6" s="1"/>
  <c r="N92" i="6" s="1"/>
  <c r="F87" i="6"/>
  <c r="F105" i="6" s="1"/>
  <c r="L51" i="6"/>
  <c r="Q87" i="6" s="1"/>
  <c r="Q91" i="6" s="1"/>
  <c r="D108" i="6"/>
  <c r="D106" i="6"/>
  <c r="D110" i="6"/>
  <c r="D111" i="6"/>
  <c r="D109" i="6"/>
  <c r="D112" i="6"/>
  <c r="D113" i="6"/>
  <c r="D114" i="6"/>
  <c r="D105" i="6"/>
  <c r="D103" i="6"/>
  <c r="D104" i="6"/>
</calcChain>
</file>

<file path=xl/sharedStrings.xml><?xml version="1.0" encoding="utf-8"?>
<sst xmlns="http://schemas.openxmlformats.org/spreadsheetml/2006/main" count="197" uniqueCount="80">
  <si>
    <t>Jan</t>
  </si>
  <si>
    <t>Feb</t>
  </si>
  <si>
    <t>Apr</t>
  </si>
  <si>
    <t>Jun</t>
  </si>
  <si>
    <t>Jul</t>
  </si>
  <si>
    <t>Aug</t>
  </si>
  <si>
    <t>Sep</t>
  </si>
  <si>
    <t>Nov</t>
  </si>
  <si>
    <t>Monthly</t>
  </si>
  <si>
    <t>Daily</t>
  </si>
  <si>
    <t>Sum</t>
  </si>
  <si>
    <t>Power</t>
  </si>
  <si>
    <t>Limit</t>
  </si>
  <si>
    <t>average</t>
  </si>
  <si>
    <t>Mar</t>
  </si>
  <si>
    <t>May</t>
  </si>
  <si>
    <t>Oct</t>
  </si>
  <si>
    <t>Dec</t>
  </si>
  <si>
    <t>15(3)b
Sum of Monthly Forecasted Flows</t>
  </si>
  <si>
    <t>15(3)c
Usage rate: Monthly flows divided by Sum</t>
  </si>
  <si>
    <t>15(3)d
Preceding (c) values multiplied by 12</t>
  </si>
  <si>
    <t>Monthly Seasonal Factors</t>
  </si>
  <si>
    <t>15(3)f
Preceding (e) values multiplied by the Multiplier (average is outside the range)</t>
  </si>
  <si>
    <t>15(3)f
Preceding (e) values multiplied by the Multiplier (average is outside range)</t>
  </si>
  <si>
    <r>
      <t>15(3)e
Preceding (d) values raised to be power of 2 (</t>
    </r>
    <r>
      <rPr>
        <b/>
        <sz val="11"/>
        <color theme="1"/>
        <rFont val="Calibri"/>
        <family val="2"/>
        <scheme val="minor"/>
      </rPr>
      <t>Initial Seasonal Factor</t>
    </r>
    <r>
      <rPr>
        <sz val="11"/>
        <color theme="1"/>
        <rFont val="Calibri"/>
        <family val="2"/>
        <scheme val="minor"/>
      </rPr>
      <t>)</t>
    </r>
  </si>
  <si>
    <r>
      <rPr>
        <b/>
        <sz val="11"/>
        <color theme="1"/>
        <rFont val="Calibri"/>
        <family val="2"/>
        <scheme val="minor"/>
      </rPr>
      <t>15(3)h Monthly SF</t>
    </r>
    <r>
      <rPr>
        <sz val="11"/>
        <color theme="1"/>
        <rFont val="Calibri"/>
        <family val="2"/>
        <scheme val="minor"/>
      </rPr>
      <t xml:space="preserve">
Preceding (e) values (Initial Seasonal Factors) multiplied by the correction factor</t>
    </r>
  </si>
  <si>
    <t>correction factor applied at step (h)</t>
  </si>
  <si>
    <t>Q1</t>
  </si>
  <si>
    <t>Q2</t>
  </si>
  <si>
    <t>Q3</t>
  </si>
  <si>
    <t>Q4</t>
  </si>
  <si>
    <t>EUR/MWh</t>
  </si>
  <si>
    <t xml:space="preserve">15(3)g 
We can see from the previous values that the average of the SF x Multiplier is in the range 1 - 1.5 as set out in the TAR NC.  We therefore use the initial seasonal factor 15(3)e </t>
  </si>
  <si>
    <t>Month</t>
  </si>
  <si>
    <t>This is the method used for calculating reserve prices and seasonal factors, the sequence will follow the lettering as set out in Article 14 and 15 of the TAR NC, and will be based on forecasted flows and the following parameters:</t>
  </si>
  <si>
    <t>variable input</t>
  </si>
  <si>
    <t>fixed input</t>
  </si>
  <si>
    <t>calculations</t>
  </si>
  <si>
    <t>15(3)a
Total forecasted flows for each month (Flow in Ellund 2020)</t>
  </si>
  <si>
    <t>Article 14 (a)
Reserve price (monthly)</t>
  </si>
  <si>
    <t>15 (5)a(i)</t>
  </si>
  <si>
    <t>15 (5)a(ii)
lower limit</t>
  </si>
  <si>
    <t>15 (5)a(ii)
upper limit</t>
  </si>
  <si>
    <t>Quarterly Seasonal Factors</t>
  </si>
  <si>
    <t>15(3)f
Preceding a(i) or a(ii) values multiplied by the Multiplier (average is outside range)</t>
  </si>
  <si>
    <t>Which method for quarterly seasonal factors?</t>
  </si>
  <si>
    <t>A</t>
  </si>
  <si>
    <t>B</t>
  </si>
  <si>
    <t>C</t>
  </si>
  <si>
    <t>Article 14 (a)
Reserve price (quarterly)</t>
  </si>
  <si>
    <t>Quarterly</t>
  </si>
  <si>
    <t>Quarter</t>
  </si>
  <si>
    <t>Article 15 (1)
Reserve price with seasonal factors (monthly)</t>
  </si>
  <si>
    <t>Price for 4 quarterly capacity products</t>
  </si>
  <si>
    <t>Daily Seasonal Factors</t>
  </si>
  <si>
    <t>Article 14 (a)
Reserve price (daily)</t>
  </si>
  <si>
    <t>Article 15 (1)
Reserve price with seasonal factors (daily)</t>
  </si>
  <si>
    <t xml:space="preserve">15(3)g 
We can see from the previous values that the average of the SF x Multiplier is in the range 1 - 1.5 as set out in the TAR NC.  We therefore use the initial seasonal factor 15a(i) or 15a(ii) </t>
  </si>
  <si>
    <r>
      <rPr>
        <b/>
        <sz val="11"/>
        <color theme="1"/>
        <rFont val="Calibri"/>
        <family val="2"/>
        <scheme val="minor"/>
      </rPr>
      <t>15(4) Daily SF</t>
    </r>
    <r>
      <rPr>
        <sz val="11"/>
        <color theme="1"/>
        <rFont val="Calibri"/>
        <family val="2"/>
        <scheme val="minor"/>
      </rPr>
      <t xml:space="preserve">
Preceding (e) values (Initial Seasonal Factors) multiplied by the correction factor</t>
    </r>
  </si>
  <si>
    <r>
      <rPr>
        <b/>
        <sz val="11"/>
        <color theme="1"/>
        <rFont val="Calibri"/>
        <family val="2"/>
        <scheme val="minor"/>
      </rPr>
      <t>15(3)h Quarterly SF</t>
    </r>
    <r>
      <rPr>
        <sz val="11"/>
        <color theme="1"/>
        <rFont val="Calibri"/>
        <family val="2"/>
        <scheme val="minor"/>
      </rPr>
      <t xml:space="preserve">
Preceding (e) values (Initial Seasonal Factors) multiplied by the correction factor</t>
    </r>
  </si>
  <si>
    <t>15(3)g
We can see from the previous values that the average of the SF x Multiplier is in the range 1 - 3 as set out in the TAR NC.  We therefor use the initial seasonal factor 15(3)e</t>
  </si>
  <si>
    <t>Price in % of the annual capacity charge/reservation price</t>
  </si>
  <si>
    <t>result</t>
  </si>
  <si>
    <t>Expected price on capacity</t>
  </si>
  <si>
    <t>Yearly</t>
  </si>
  <si>
    <t>dkk/kWh/h/y</t>
  </si>
  <si>
    <t>* based on 'Tarif Forecasting Model 2018-25'</t>
  </si>
  <si>
    <t>Previously published</t>
  </si>
  <si>
    <t>NC TAR Method</t>
  </si>
  <si>
    <t>Firm capacity charge/reservation prices (short term)</t>
  </si>
  <si>
    <t>Factor multiplied on the reservation price (Multiplier)</t>
  </si>
  <si>
    <t>Factor multiplied with the reservation price</t>
  </si>
  <si>
    <t>Quarterly capacity product</t>
  </si>
  <si>
    <t>Monthly capacity product</t>
  </si>
  <si>
    <t>Daily capacity product</t>
  </si>
  <si>
    <r>
      <t xml:space="preserve">Multiplier </t>
    </r>
    <r>
      <rPr>
        <b/>
        <sz val="11"/>
        <color theme="6" tint="-0.249977111117893"/>
        <rFont val="Calibri"/>
        <family val="2"/>
        <scheme val="minor"/>
      </rPr>
      <t>(M)</t>
    </r>
  </si>
  <si>
    <r>
      <t xml:space="preserve">Number of days in month </t>
    </r>
    <r>
      <rPr>
        <b/>
        <sz val="11"/>
        <color theme="6" tint="-0.249977111117893"/>
        <rFont val="Calibri"/>
        <family val="2"/>
        <scheme val="minor"/>
      </rPr>
      <t>(D)</t>
    </r>
  </si>
  <si>
    <r>
      <t xml:space="preserve">Price of yearly capacity product </t>
    </r>
    <r>
      <rPr>
        <b/>
        <sz val="11"/>
        <color theme="6" tint="-0.249977111117893"/>
        <rFont val="Calibri"/>
        <family val="2"/>
        <scheme val="minor"/>
      </rPr>
      <t>(T)</t>
    </r>
    <r>
      <rPr>
        <b/>
        <sz val="11"/>
        <rFont val="Calibri"/>
        <family val="2"/>
        <scheme val="minor"/>
      </rPr>
      <t>*</t>
    </r>
  </si>
  <si>
    <r>
      <rPr>
        <sz val="11"/>
        <color theme="1"/>
        <rFont val="Calibri"/>
        <family val="2"/>
        <scheme val="minor"/>
      </rPr>
      <t>Price for 12 monthly capacity products</t>
    </r>
    <r>
      <rPr>
        <b/>
        <sz val="11"/>
        <color theme="1"/>
        <rFont val="Calibri"/>
        <family val="2"/>
        <scheme val="minor"/>
      </rPr>
      <t xml:space="preserve">
</t>
    </r>
  </si>
  <si>
    <t>Price for 365 daily capacity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</si>
</sst>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
  </numFmts>
  <fonts count="8" x14ac:knownFonts="1">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1"/>
      <color theme="6" tint="-0.249977111117893"/>
      <name val="Calibri"/>
      <family val="2"/>
      <scheme val="minor"/>
    </font>
  </fonts>
  <fills count="8">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
      <patternFill patternType="lightUp">
        <fgColor theme="0" tint="-0.34998626667073579"/>
        <bgColor theme="0"/>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s>
  <cellStyleXfs count="2">
    <xf numFmtId="0" fontId="0" fillId="0" borderId="0"/>
    <xf numFmtId="9" fontId="5" fillId="0" borderId="0" applyFont="0" applyFill="0" applyBorder="0" applyAlignment="0" applyProtection="0"/>
  </cellStyleXfs>
  <cellXfs count="121">
    <xf numFmtId="0" fontId="0" fillId="0" borderId="0" xfId="0"/>
    <xf numFmtId="0" fontId="0" fillId="0" borderId="0" xfId="0" applyFill="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right"/>
    </xf>
    <xf numFmtId="0" fontId="0" fillId="0" borderId="0" xfId="0" applyFill="1" applyAlignment="1">
      <alignment horizontal="right"/>
    </xf>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xf>
    <xf numFmtId="3" fontId="2" fillId="0" borderId="0" xfId="0" applyNumberFormat="1" applyFont="1"/>
    <xf numFmtId="3" fontId="0" fillId="0" borderId="0" xfId="0" applyNumberFormat="1"/>
    <xf numFmtId="9" fontId="2" fillId="0" borderId="0" xfId="0" applyNumberFormat="1" applyFont="1"/>
    <xf numFmtId="9" fontId="0" fillId="0" borderId="0" xfId="0" applyNumberFormat="1"/>
    <xf numFmtId="1" fontId="0" fillId="0" borderId="0" xfId="0" applyNumberFormat="1"/>
    <xf numFmtId="0" fontId="0" fillId="2" borderId="0" xfId="0" applyFill="1"/>
    <xf numFmtId="2" fontId="0" fillId="0" borderId="0" xfId="0" applyNumberFormat="1"/>
    <xf numFmtId="0" fontId="0" fillId="0" borderId="5" xfId="0" applyBorder="1"/>
    <xf numFmtId="0" fontId="0" fillId="0" borderId="6" xfId="0" applyBorder="1"/>
    <xf numFmtId="0" fontId="0" fillId="0" borderId="9" xfId="0" applyBorder="1"/>
    <xf numFmtId="0" fontId="0" fillId="0" borderId="10" xfId="0" applyBorder="1"/>
    <xf numFmtId="0" fontId="0" fillId="0" borderId="2" xfId="0" applyBorder="1"/>
    <xf numFmtId="0" fontId="0" fillId="0" borderId="7" xfId="0" applyBorder="1"/>
    <xf numFmtId="2" fontId="0" fillId="3" borderId="2" xfId="0" applyNumberFormat="1" applyFill="1" applyBorder="1" applyAlignment="1">
      <alignment horizontal="center"/>
    </xf>
    <xf numFmtId="2" fontId="0" fillId="3" borderId="4" xfId="0" applyNumberFormat="1" applyFill="1" applyBorder="1" applyAlignment="1">
      <alignment horizontal="center"/>
    </xf>
    <xf numFmtId="0" fontId="0" fillId="3" borderId="6" xfId="0" applyFill="1" applyBorder="1" applyAlignment="1">
      <alignment horizontal="center"/>
    </xf>
    <xf numFmtId="2" fontId="0" fillId="3" borderId="5" xfId="0" applyNumberFormat="1" applyFill="1" applyBorder="1" applyAlignment="1">
      <alignment horizontal="center"/>
    </xf>
    <xf numFmtId="2" fontId="0" fillId="3" borderId="6" xfId="0" applyNumberFormat="1" applyFill="1" applyBorder="1" applyAlignment="1">
      <alignment horizontal="center"/>
    </xf>
    <xf numFmtId="0" fontId="0" fillId="3" borderId="8" xfId="0" applyFill="1" applyBorder="1" applyAlignment="1">
      <alignment horizontal="center"/>
    </xf>
    <xf numFmtId="2" fontId="0" fillId="3" borderId="7" xfId="0" applyNumberFormat="1" applyFill="1" applyBorder="1" applyAlignment="1">
      <alignment horizontal="center"/>
    </xf>
    <xf numFmtId="2" fontId="0" fillId="3" borderId="8" xfId="0" applyNumberFormat="1" applyFill="1" applyBorder="1" applyAlignment="1">
      <alignment horizontal="center"/>
    </xf>
    <xf numFmtId="0" fontId="0" fillId="0" borderId="0" xfId="0" applyAlignment="1">
      <alignment horizontal="left" wrapText="1"/>
    </xf>
    <xf numFmtId="0" fontId="1" fillId="0" borderId="0" xfId="0" applyFont="1"/>
    <xf numFmtId="0" fontId="3" fillId="0" borderId="0" xfId="0" applyFont="1"/>
    <xf numFmtId="2" fontId="0" fillId="3" borderId="0" xfId="0" applyNumberFormat="1" applyFill="1" applyBorder="1" applyAlignment="1">
      <alignment horizontal="center"/>
    </xf>
    <xf numFmtId="2" fontId="0" fillId="3" borderId="3" xfId="0" applyNumberFormat="1" applyFill="1" applyBorder="1" applyAlignment="1">
      <alignment horizontal="center"/>
    </xf>
    <xf numFmtId="2" fontId="0" fillId="3" borderId="11" xfId="0" applyNumberFormat="1" applyFill="1" applyBorder="1" applyAlignment="1">
      <alignment horizontal="center"/>
    </xf>
    <xf numFmtId="0" fontId="1" fillId="3" borderId="9" xfId="0" applyFont="1" applyFill="1" applyBorder="1"/>
    <xf numFmtId="0" fontId="0" fillId="3" borderId="10" xfId="0" applyFill="1" applyBorder="1"/>
    <xf numFmtId="0" fontId="0" fillId="3" borderId="5" xfId="0" applyFill="1" applyBorder="1"/>
    <xf numFmtId="0" fontId="0" fillId="3" borderId="2" xfId="0" applyFill="1" applyBorder="1"/>
    <xf numFmtId="0" fontId="0" fillId="3" borderId="7" xfId="0" applyFill="1" applyBorder="1"/>
    <xf numFmtId="0" fontId="0" fillId="0" borderId="0" xfId="0" applyAlignment="1">
      <alignment horizontal="center"/>
    </xf>
    <xf numFmtId="0" fontId="0" fillId="3" borderId="9" xfId="0" applyFill="1" applyBorder="1" applyAlignment="1">
      <alignment horizontal="center"/>
    </xf>
    <xf numFmtId="0" fontId="0" fillId="3" borderId="12" xfId="0" applyFill="1" applyBorder="1" applyAlignment="1">
      <alignment horizontal="center"/>
    </xf>
    <xf numFmtId="0" fontId="0" fillId="0" borderId="0" xfId="0" applyFont="1" applyFill="1" applyBorder="1"/>
    <xf numFmtId="2" fontId="0" fillId="0" borderId="0" xfId="0" applyNumberFormat="1" applyFont="1" applyFill="1" applyBorder="1"/>
    <xf numFmtId="1" fontId="0" fillId="0" borderId="0" xfId="0" applyNumberFormat="1" applyFont="1" applyFill="1" applyBorder="1"/>
    <xf numFmtId="9" fontId="0" fillId="0" borderId="0" xfId="0" applyNumberFormat="1" applyFont="1" applyFill="1" applyBorder="1"/>
    <xf numFmtId="0" fontId="0" fillId="0" borderId="0" xfId="0" applyFill="1" applyAlignment="1">
      <alignment horizontal="left" wrapText="1"/>
    </xf>
    <xf numFmtId="0" fontId="0" fillId="0" borderId="0" xfId="0" applyAlignment="1">
      <alignment horizontal="left"/>
    </xf>
    <xf numFmtId="164" fontId="0" fillId="0" borderId="0" xfId="0" applyNumberFormat="1"/>
    <xf numFmtId="0" fontId="1" fillId="0" borderId="2" xfId="0" applyFont="1" applyFill="1" applyBorder="1"/>
    <xf numFmtId="0" fontId="0" fillId="0" borderId="4" xfId="0" applyFill="1" applyBorder="1"/>
    <xf numFmtId="0" fontId="0" fillId="0" borderId="8" xfId="0" applyFill="1" applyBorder="1"/>
    <xf numFmtId="3" fontId="0" fillId="0" borderId="0" xfId="0" applyNumberFormat="1" applyFill="1"/>
    <xf numFmtId="0" fontId="0" fillId="4" borderId="0" xfId="0" applyFill="1"/>
    <xf numFmtId="0" fontId="1" fillId="0" borderId="0" xfId="0" applyFont="1"/>
    <xf numFmtId="0" fontId="0" fillId="0" borderId="0" xfId="0" applyAlignment="1">
      <alignment horizontal="left" vertical="top" wrapText="1"/>
    </xf>
    <xf numFmtId="0" fontId="0" fillId="3" borderId="4" xfId="0" applyFill="1" applyBorder="1" applyAlignment="1">
      <alignment horizontal="center"/>
    </xf>
    <xf numFmtId="0" fontId="0" fillId="0" borderId="0" xfId="0" applyFill="1" applyAlignment="1">
      <alignment wrapText="1"/>
    </xf>
    <xf numFmtId="0" fontId="4"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wrapText="1"/>
    </xf>
    <xf numFmtId="0" fontId="0" fillId="0" borderId="0" xfId="0" applyFont="1" applyFill="1" applyAlignment="1">
      <alignment wrapText="1"/>
    </xf>
    <xf numFmtId="0" fontId="0" fillId="3" borderId="0" xfId="0" applyFill="1"/>
    <xf numFmtId="2" fontId="0" fillId="3" borderId="0" xfId="0" applyNumberFormat="1" applyFill="1" applyBorder="1"/>
    <xf numFmtId="2" fontId="0" fillId="3" borderId="15" xfId="0" applyNumberFormat="1" applyFill="1" applyBorder="1"/>
    <xf numFmtId="2" fontId="0" fillId="3" borderId="16" xfId="0" applyNumberFormat="1" applyFill="1" applyBorder="1"/>
    <xf numFmtId="2" fontId="0" fillId="3" borderId="17" xfId="0" applyNumberFormat="1" applyFill="1" applyBorder="1"/>
    <xf numFmtId="165" fontId="0" fillId="3" borderId="0" xfId="0" applyNumberFormat="1" applyFill="1" applyBorder="1"/>
    <xf numFmtId="165" fontId="0" fillId="3" borderId="15" xfId="0" applyNumberFormat="1" applyFill="1" applyBorder="1"/>
    <xf numFmtId="10" fontId="0" fillId="3" borderId="16" xfId="0" applyNumberFormat="1" applyFill="1" applyBorder="1"/>
    <xf numFmtId="10" fontId="0" fillId="3" borderId="17" xfId="0" applyNumberFormat="1" applyFill="1" applyBorder="1"/>
    <xf numFmtId="0" fontId="0" fillId="3" borderId="20" xfId="0" applyFill="1" applyBorder="1"/>
    <xf numFmtId="0" fontId="0" fillId="3" borderId="21" xfId="0" applyFill="1" applyBorder="1"/>
    <xf numFmtId="0" fontId="0" fillId="3" borderId="22" xfId="0" applyFill="1" applyBorder="1"/>
    <xf numFmtId="0" fontId="1" fillId="3" borderId="18" xfId="0" applyFont="1" applyFill="1" applyBorder="1" applyAlignment="1">
      <alignment horizontal="right"/>
    </xf>
    <xf numFmtId="0" fontId="1" fillId="3" borderId="19" xfId="0" applyFont="1" applyFill="1" applyBorder="1" applyAlignment="1">
      <alignment horizontal="right"/>
    </xf>
    <xf numFmtId="0" fontId="1" fillId="3" borderId="0" xfId="0" applyFont="1" applyFill="1"/>
    <xf numFmtId="0" fontId="0" fillId="0" borderId="2" xfId="0" applyBorder="1" applyAlignment="1">
      <alignment horizontal="center"/>
    </xf>
    <xf numFmtId="0" fontId="0" fillId="0" borderId="4" xfId="0" applyBorder="1" applyAlignment="1">
      <alignment horizontal="center"/>
    </xf>
    <xf numFmtId="0" fontId="1" fillId="3" borderId="13" xfId="0" applyFont="1" applyFill="1" applyBorder="1" applyAlignment="1"/>
    <xf numFmtId="0" fontId="1" fillId="3" borderId="14" xfId="0" applyFont="1" applyFill="1" applyBorder="1" applyAlignment="1"/>
    <xf numFmtId="0" fontId="0" fillId="0" borderId="0" xfId="0" applyAlignment="1">
      <alignment horizontal="center" wrapText="1"/>
    </xf>
    <xf numFmtId="0" fontId="0" fillId="0" borderId="0" xfId="0" applyAlignment="1">
      <alignment vertical="top" wrapText="1"/>
    </xf>
    <xf numFmtId="0" fontId="0" fillId="0" borderId="0" xfId="0" applyFill="1" applyAlignment="1">
      <alignment vertical="top" wrapText="1"/>
    </xf>
    <xf numFmtId="0" fontId="1" fillId="0" borderId="0" xfId="0" applyFont="1" applyAlignment="1">
      <alignment vertical="top" wrapText="1"/>
    </xf>
    <xf numFmtId="0" fontId="0" fillId="0" borderId="0" xfId="0" applyBorder="1"/>
    <xf numFmtId="0" fontId="0" fillId="0" borderId="8" xfId="0" applyBorder="1"/>
    <xf numFmtId="0" fontId="0" fillId="5" borderId="0" xfId="0" applyFill="1"/>
    <xf numFmtId="0" fontId="0" fillId="6" borderId="0" xfId="0" applyFill="1" applyAlignment="1">
      <alignment horizontal="left" vertical="top" wrapText="1"/>
    </xf>
    <xf numFmtId="0" fontId="0" fillId="6" borderId="0" xfId="0" applyFill="1"/>
    <xf numFmtId="0" fontId="0" fillId="2" borderId="1" xfId="0" applyFill="1" applyBorder="1" applyAlignment="1">
      <alignment horizontal="center"/>
    </xf>
    <xf numFmtId="0" fontId="0" fillId="2" borderId="7" xfId="0" applyFill="1" applyBorder="1"/>
    <xf numFmtId="0" fontId="0" fillId="2" borderId="7" xfId="0" applyFill="1" applyBorder="1" applyAlignment="1">
      <alignment horizontal="right"/>
    </xf>
    <xf numFmtId="3" fontId="4" fillId="2" borderId="0" xfId="0" applyNumberFormat="1" applyFont="1" applyFill="1"/>
    <xf numFmtId="3" fontId="4" fillId="2" borderId="11" xfId="0" applyNumberFormat="1" applyFont="1" applyFill="1" applyBorder="1"/>
    <xf numFmtId="3" fontId="0" fillId="5" borderId="0" xfId="0" applyNumberFormat="1" applyFill="1"/>
    <xf numFmtId="2" fontId="0" fillId="5" borderId="0" xfId="0" applyNumberFormat="1" applyFill="1"/>
    <xf numFmtId="2" fontId="0" fillId="5" borderId="0" xfId="0" applyNumberFormat="1" applyFont="1" applyFill="1" applyBorder="1"/>
    <xf numFmtId="0" fontId="0" fillId="5" borderId="11" xfId="0" applyFill="1" applyBorder="1"/>
    <xf numFmtId="0" fontId="0" fillId="5" borderId="3" xfId="0" applyFill="1" applyBorder="1"/>
    <xf numFmtId="2" fontId="0" fillId="7" borderId="0" xfId="0" applyNumberFormat="1" applyFill="1"/>
    <xf numFmtId="165" fontId="0" fillId="7" borderId="0" xfId="1" applyNumberFormat="1" applyFont="1" applyFill="1"/>
    <xf numFmtId="10" fontId="0" fillId="7" borderId="0" xfId="1" applyNumberFormat="1" applyFont="1" applyFill="1"/>
    <xf numFmtId="0" fontId="0" fillId="7" borderId="0" xfId="0" applyFill="1"/>
    <xf numFmtId="0" fontId="0" fillId="0" borderId="0" xfId="0" applyFont="1" applyAlignment="1">
      <alignment vertical="top" wrapText="1"/>
    </xf>
    <xf numFmtId="0" fontId="0" fillId="2" borderId="1" xfId="0" applyFill="1" applyBorder="1" applyAlignment="1">
      <alignment horizontal="center" vertical="center"/>
    </xf>
    <xf numFmtId="0" fontId="0" fillId="4" borderId="1" xfId="0" applyFill="1" applyBorder="1" applyAlignment="1">
      <alignment horizontal="center"/>
    </xf>
    <xf numFmtId="2" fontId="0" fillId="5" borderId="1" xfId="0" applyNumberFormat="1" applyFill="1" applyBorder="1" applyAlignment="1">
      <alignment horizontal="center"/>
    </xf>
    <xf numFmtId="0" fontId="0" fillId="0" borderId="2"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horizontal="left" wrapText="1"/>
    </xf>
    <xf numFmtId="0" fontId="1" fillId="0" borderId="0" xfId="0" applyFont="1"/>
    <xf numFmtId="0" fontId="1" fillId="0" borderId="0" xfId="0" applyFont="1" applyFill="1"/>
    <xf numFmtId="0" fontId="0" fillId="0" borderId="0" xfId="0" applyAlignment="1">
      <alignment horizontal="left" vertical="top" wrapText="1"/>
    </xf>
    <xf numFmtId="0" fontId="0" fillId="0" borderId="3" xfId="0" applyBorder="1" applyAlignment="1">
      <alignment horizontal="center"/>
    </xf>
    <xf numFmtId="0" fontId="1" fillId="0"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Expected price on capacity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3"/>
          <c:order val="0"/>
          <c:tx>
            <c:strRef>
              <c:f>'Seasonal factors'!$J$101</c:f>
              <c:strCache>
                <c:ptCount val="1"/>
                <c:pt idx="0">
                  <c:v>Yearly</c:v>
                </c:pt>
              </c:strCache>
            </c:strRef>
          </c:tx>
          <c:spPr>
            <a:solidFill>
              <a:schemeClr val="accent4"/>
            </a:solidFill>
            <a:ln>
              <a:noFill/>
            </a:ln>
            <a:effectLst/>
          </c:spPr>
          <c:invertIfNegative val="0"/>
          <c:val>
            <c:numRef>
              <c:f>'Seasonal factors'!$J$103:$J$114</c:f>
              <c:numCache>
                <c:formatCode>0.00</c:formatCode>
                <c:ptCount val="12"/>
                <c:pt idx="0">
                  <c:v>0.3481352088504796</c:v>
                </c:pt>
                <c:pt idx="1">
                  <c:v>0.3481352088504796</c:v>
                </c:pt>
                <c:pt idx="2">
                  <c:v>0.3481352088504796</c:v>
                </c:pt>
                <c:pt idx="3">
                  <c:v>0.3481352088504796</c:v>
                </c:pt>
                <c:pt idx="4">
                  <c:v>0.3481352088504796</c:v>
                </c:pt>
                <c:pt idx="5">
                  <c:v>0.3481352088504796</c:v>
                </c:pt>
                <c:pt idx="6">
                  <c:v>0.3481352088504796</c:v>
                </c:pt>
                <c:pt idx="7">
                  <c:v>0.3481352088504796</c:v>
                </c:pt>
                <c:pt idx="8">
                  <c:v>0.3481352088504796</c:v>
                </c:pt>
                <c:pt idx="9">
                  <c:v>0.3481352088504796</c:v>
                </c:pt>
                <c:pt idx="10">
                  <c:v>0.3481352088504796</c:v>
                </c:pt>
                <c:pt idx="11">
                  <c:v>0.3481352088504796</c:v>
                </c:pt>
              </c:numCache>
            </c:numRef>
          </c:val>
          <c:extLst>
            <c:ext xmlns:c16="http://schemas.microsoft.com/office/drawing/2014/chart" uri="{C3380CC4-5D6E-409C-BE32-E72D297353CC}">
              <c16:uniqueId val="{00000003-3C0C-4FDD-96D0-60DFBE304BEF}"/>
            </c:ext>
          </c:extLst>
        </c:ser>
        <c:ser>
          <c:idx val="0"/>
          <c:order val="1"/>
          <c:tx>
            <c:strRef>
              <c:f>'Seasonal factors'!$D$101:$E$101</c:f>
              <c:strCache>
                <c:ptCount val="1"/>
                <c:pt idx="0">
                  <c:v>Quarterly</c:v>
                </c:pt>
              </c:strCache>
            </c:strRef>
          </c:tx>
          <c:spPr>
            <a:solidFill>
              <a:schemeClr val="accent1"/>
            </a:solidFill>
            <a:ln>
              <a:noFill/>
            </a:ln>
            <a:effectLst/>
          </c:spPr>
          <c:invertIfNegative val="0"/>
          <c:cat>
            <c:strRef>
              <c:f>'Seasonal factors'!$C$103:$C$114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'Seasonal factors'!$D$103:$D$114</c:f>
              <c:numCache>
                <c:formatCode>0.00</c:formatCode>
                <c:ptCount val="12"/>
                <c:pt idx="0">
                  <c:v>0.61183820933574495</c:v>
                </c:pt>
                <c:pt idx="1">
                  <c:v>0.61183820933574495</c:v>
                </c:pt>
                <c:pt idx="2">
                  <c:v>0.61183820933574495</c:v>
                </c:pt>
                <c:pt idx="3">
                  <c:v>0.34853447959116407</c:v>
                </c:pt>
                <c:pt idx="4">
                  <c:v>0.34853447959116407</c:v>
                </c:pt>
                <c:pt idx="5">
                  <c:v>0.34853447959116407</c:v>
                </c:pt>
                <c:pt idx="6">
                  <c:v>0.30443710382635086</c:v>
                </c:pt>
                <c:pt idx="7">
                  <c:v>0.30443710382635086</c:v>
                </c:pt>
                <c:pt idx="8">
                  <c:v>0.30443710382635086</c:v>
                </c:pt>
                <c:pt idx="9">
                  <c:v>0.49638471211600194</c:v>
                </c:pt>
                <c:pt idx="10">
                  <c:v>0.49638471211600194</c:v>
                </c:pt>
                <c:pt idx="11">
                  <c:v>0.49638471211600194</c:v>
                </c:pt>
              </c:numCache>
            </c:numRef>
          </c:val>
          <c:extLst>
            <c:ext xmlns:c16="http://schemas.microsoft.com/office/drawing/2014/chart" uri="{C3380CC4-5D6E-409C-BE32-E72D297353CC}">
              <c16:uniqueId val="{00000000-3C0C-4FDD-96D0-60DFBE304BEF}"/>
            </c:ext>
          </c:extLst>
        </c:ser>
        <c:ser>
          <c:idx val="1"/>
          <c:order val="2"/>
          <c:tx>
            <c:strRef>
              <c:f>'Seasonal factors'!$F$101:$G$101</c:f>
              <c:strCache>
                <c:ptCount val="1"/>
                <c:pt idx="0">
                  <c:v>Monthly</c:v>
                </c:pt>
              </c:strCache>
            </c:strRef>
          </c:tx>
          <c:spPr>
            <a:solidFill>
              <a:schemeClr val="accent2"/>
            </a:solidFill>
            <a:ln>
              <a:noFill/>
            </a:ln>
            <a:effectLst/>
          </c:spPr>
          <c:invertIfNegative val="0"/>
          <c:cat>
            <c:strRef>
              <c:f>'Seasonal factors'!$C$103:$C$114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'Seasonal factors'!$F$103:$F$114</c:f>
              <c:numCache>
                <c:formatCode>0.00</c:formatCode>
                <c:ptCount val="12"/>
                <c:pt idx="0">
                  <c:v>0.70196581341713538</c:v>
                </c:pt>
                <c:pt idx="1">
                  <c:v>0.62672595226306704</c:v>
                </c:pt>
                <c:pt idx="2">
                  <c:v>0.68337887657844321</c:v>
                </c:pt>
                <c:pt idx="3">
                  <c:v>0.4964541499017352</c:v>
                </c:pt>
                <c:pt idx="4">
                  <c:v>0.4605548996049228</c:v>
                </c:pt>
                <c:pt idx="5">
                  <c:v>0.36932617539095097</c:v>
                </c:pt>
                <c:pt idx="6">
                  <c:v>0.32972807440819846</c:v>
                </c:pt>
                <c:pt idx="7">
                  <c:v>0.34587935624054877</c:v>
                </c:pt>
                <c:pt idx="8">
                  <c:v>0.38183296539695871</c:v>
                </c:pt>
                <c:pt idx="9">
                  <c:v>0.53762164083992448</c:v>
                </c:pt>
                <c:pt idx="10">
                  <c:v>0.62116623158935724</c:v>
                </c:pt>
                <c:pt idx="11">
                  <c:v>0.70196581341713538</c:v>
                </c:pt>
              </c:numCache>
            </c:numRef>
          </c:val>
          <c:extLst>
            <c:ext xmlns:c16="http://schemas.microsoft.com/office/drawing/2014/chart" uri="{C3380CC4-5D6E-409C-BE32-E72D297353CC}">
              <c16:uniqueId val="{00000001-3C0C-4FDD-96D0-60DFBE304BEF}"/>
            </c:ext>
          </c:extLst>
        </c:ser>
        <c:ser>
          <c:idx val="2"/>
          <c:order val="3"/>
          <c:tx>
            <c:strRef>
              <c:f>'Seasonal factors'!$H$101:$I$101</c:f>
              <c:strCache>
                <c:ptCount val="1"/>
                <c:pt idx="0">
                  <c:v>Daily</c:v>
                </c:pt>
              </c:strCache>
            </c:strRef>
          </c:tx>
          <c:spPr>
            <a:solidFill>
              <a:schemeClr val="accent3"/>
            </a:solidFill>
            <a:ln>
              <a:noFill/>
            </a:ln>
            <a:effectLst/>
          </c:spPr>
          <c:invertIfNegative val="0"/>
          <c:cat>
            <c:strRef>
              <c:f>'Seasonal factors'!$C$103:$C$114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'Seasonal factors'!$H$103:$H$114</c:f>
              <c:numCache>
                <c:formatCode>0.00</c:formatCode>
                <c:ptCount val="12"/>
                <c:pt idx="0">
                  <c:v>0.8265081351524336</c:v>
                </c:pt>
                <c:pt idx="1">
                  <c:v>0.78881025026213603</c:v>
                </c:pt>
                <c:pt idx="2">
                  <c:v>0.80462351597139303</c:v>
                </c:pt>
                <c:pt idx="3">
                  <c:v>0.60401921571377792</c:v>
                </c:pt>
                <c:pt idx="4">
                  <c:v>0.542266252760635</c:v>
                </c:pt>
                <c:pt idx="5">
                  <c:v>0.449346846725657</c:v>
                </c:pt>
                <c:pt idx="6">
                  <c:v>0.38822821664191109</c:v>
                </c:pt>
                <c:pt idx="7">
                  <c:v>0.40724504847677523</c:v>
                </c:pt>
                <c:pt idx="8">
                  <c:v>0.46456344123296645</c:v>
                </c:pt>
                <c:pt idx="9">
                  <c:v>0.63300612550507251</c:v>
                </c:pt>
                <c:pt idx="10">
                  <c:v>0.75575224843371813</c:v>
                </c:pt>
                <c:pt idx="11">
                  <c:v>0.8265081351524336</c:v>
                </c:pt>
              </c:numCache>
            </c:numRef>
          </c:val>
          <c:extLst>
            <c:ext xmlns:c16="http://schemas.microsoft.com/office/drawing/2014/chart" uri="{C3380CC4-5D6E-409C-BE32-E72D297353CC}">
              <c16:uniqueId val="{00000002-3C0C-4FDD-96D0-60DFBE304BEF}"/>
            </c:ext>
          </c:extLst>
        </c:ser>
        <c:dLbls>
          <c:showLegendKey val="0"/>
          <c:showVal val="0"/>
          <c:showCatName val="0"/>
          <c:showSerName val="0"/>
          <c:showPercent val="0"/>
          <c:showBubbleSize val="0"/>
        </c:dLbls>
        <c:gapWidth val="219"/>
        <c:overlap val="-27"/>
        <c:axId val="789120520"/>
        <c:axId val="789116584"/>
      </c:barChart>
      <c:catAx>
        <c:axId val="78912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9116584"/>
        <c:crosses val="autoZero"/>
        <c:auto val="1"/>
        <c:lblAlgn val="ctr"/>
        <c:lblOffset val="100"/>
        <c:noMultiLvlLbl val="0"/>
      </c:catAx>
      <c:valAx>
        <c:axId val="789116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a:t>EUR/MWh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789120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309561</xdr:colOff>
      <xdr:row>97</xdr:row>
      <xdr:rowOff>17858</xdr:rowOff>
    </xdr:from>
    <xdr:to>
      <xdr:col>22</xdr:col>
      <xdr:colOff>315515</xdr:colOff>
      <xdr:row>114</xdr:row>
      <xdr:rowOff>11907</xdr:rowOff>
    </xdr:to>
    <xdr:graphicFrame macro="">
      <xdr:nvGraphicFramePr>
        <xdr:cNvPr id="3" name="Diagram 2">
          <a:extLst>
            <a:ext uri="{FF2B5EF4-FFF2-40B4-BE49-F238E27FC236}">
              <a16:creationId xmlns:a16="http://schemas.microsoft.com/office/drawing/2014/main" id="{1BB0E100-5748-4418-83C4-A25DED680F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14"/>
  <sheetViews>
    <sheetView tabSelected="1" zoomScale="80" zoomScaleNormal="80" workbookViewId="0">
      <selection activeCell="G7" sqref="G7"/>
    </sheetView>
  </sheetViews>
  <sheetFormatPr defaultColWidth="11.3984375" defaultRowHeight="14.25" x14ac:dyDescent="0.45"/>
  <cols>
    <col min="1" max="1" width="16.59765625" customWidth="1"/>
    <col min="2" max="2" width="18.53125" customWidth="1"/>
    <col min="3" max="3" width="19.86328125" customWidth="1"/>
    <col min="4" max="4" width="21.86328125" customWidth="1"/>
    <col min="5" max="5" width="20.3984375" customWidth="1"/>
    <col min="6" max="7" width="18" customWidth="1"/>
    <col min="8" max="8" width="17.796875" customWidth="1"/>
    <col min="9" max="9" width="18.73046875" customWidth="1"/>
    <col min="10" max="15" width="11.3984375" customWidth="1"/>
    <col min="16" max="16" width="11.265625" customWidth="1"/>
  </cols>
  <sheetData>
    <row r="2" spans="1:14" ht="29.25" customHeight="1" x14ac:dyDescent="0.45">
      <c r="B2" s="115" t="s">
        <v>34</v>
      </c>
      <c r="C2" s="115"/>
      <c r="D2" s="115"/>
      <c r="E2" s="115"/>
      <c r="F2" s="115"/>
      <c r="G2" s="115"/>
    </row>
    <row r="3" spans="1:14" x14ac:dyDescent="0.45">
      <c r="L3" s="15" t="s">
        <v>35</v>
      </c>
    </row>
    <row r="4" spans="1:14" x14ac:dyDescent="0.45">
      <c r="B4" s="6"/>
      <c r="C4" s="6" t="s">
        <v>50</v>
      </c>
      <c r="D4" s="9" t="s">
        <v>8</v>
      </c>
      <c r="E4" s="9" t="s">
        <v>9</v>
      </c>
      <c r="F4" s="7" t="s">
        <v>11</v>
      </c>
      <c r="H4" s="52" t="s">
        <v>77</v>
      </c>
      <c r="I4" s="53"/>
      <c r="J4" s="88"/>
      <c r="L4" s="56" t="s">
        <v>36</v>
      </c>
    </row>
    <row r="5" spans="1:14" x14ac:dyDescent="0.45">
      <c r="B5" s="6" t="s">
        <v>75</v>
      </c>
      <c r="C5" s="93">
        <v>1.4</v>
      </c>
      <c r="D5" s="93">
        <v>1.5</v>
      </c>
      <c r="E5" s="93">
        <v>1.8</v>
      </c>
      <c r="F5" s="108">
        <v>0.7</v>
      </c>
      <c r="H5" s="94">
        <v>22.72</v>
      </c>
      <c r="I5" s="54" t="s">
        <v>65</v>
      </c>
      <c r="J5" s="88"/>
      <c r="L5" s="90" t="s">
        <v>37</v>
      </c>
    </row>
    <row r="6" spans="1:14" x14ac:dyDescent="0.45">
      <c r="B6" s="6" t="s">
        <v>12</v>
      </c>
      <c r="C6" s="109">
        <v>1.5</v>
      </c>
      <c r="D6" s="109">
        <v>1.5</v>
      </c>
      <c r="E6" s="109">
        <v>3</v>
      </c>
      <c r="F6" s="109">
        <v>2</v>
      </c>
      <c r="H6" t="s">
        <v>66</v>
      </c>
      <c r="L6" s="106" t="s">
        <v>62</v>
      </c>
    </row>
    <row r="7" spans="1:14" ht="30.75" customHeight="1" x14ac:dyDescent="0.45">
      <c r="B7" s="8" t="s">
        <v>26</v>
      </c>
      <c r="C7" s="110">
        <f>C6/C44</f>
        <v>1.2018612466271397</v>
      </c>
      <c r="D7" s="110">
        <f>D6/C61</f>
        <v>1.0150119397402582</v>
      </c>
      <c r="E7" s="110">
        <f>E6/C78</f>
        <v>1.6916865662337637</v>
      </c>
      <c r="F7" s="6"/>
    </row>
    <row r="8" spans="1:14" ht="14.25" customHeight="1" x14ac:dyDescent="0.45">
      <c r="H8" s="111" t="s">
        <v>45</v>
      </c>
      <c r="I8" s="112"/>
      <c r="J8" s="63"/>
    </row>
    <row r="9" spans="1:14" x14ac:dyDescent="0.45">
      <c r="H9" s="95" t="s">
        <v>47</v>
      </c>
      <c r="I9" s="89"/>
    </row>
    <row r="10" spans="1:14" x14ac:dyDescent="0.45">
      <c r="H10" s="84"/>
      <c r="I10" s="1"/>
    </row>
    <row r="12" spans="1:14" x14ac:dyDescent="0.45">
      <c r="I12" t="s">
        <v>46</v>
      </c>
      <c r="J12" t="s">
        <v>47</v>
      </c>
      <c r="K12" t="s">
        <v>48</v>
      </c>
    </row>
    <row r="13" spans="1:14" s="2" customFormat="1" ht="89.25" customHeight="1" x14ac:dyDescent="0.45">
      <c r="A13" s="31" t="s">
        <v>76</v>
      </c>
      <c r="B13" s="50" t="s">
        <v>33</v>
      </c>
      <c r="C13" s="3" t="s">
        <v>38</v>
      </c>
      <c r="D13" s="3" t="s">
        <v>18</v>
      </c>
      <c r="E13" s="3" t="s">
        <v>19</v>
      </c>
      <c r="F13" s="3" t="s">
        <v>20</v>
      </c>
      <c r="G13" s="3" t="s">
        <v>24</v>
      </c>
      <c r="I13" s="2" t="s">
        <v>40</v>
      </c>
      <c r="J13" s="58" t="s">
        <v>41</v>
      </c>
      <c r="K13" s="58" t="s">
        <v>42</v>
      </c>
      <c r="L13" s="3"/>
    </row>
    <row r="14" spans="1:14" ht="15" customHeight="1" x14ac:dyDescent="0.45">
      <c r="A14" s="56">
        <v>31</v>
      </c>
      <c r="B14" s="5" t="s">
        <v>0</v>
      </c>
      <c r="C14" s="96">
        <v>319.05917355371906</v>
      </c>
      <c r="D14" s="98">
        <f>$C$26</f>
        <v>2619.1494897934926</v>
      </c>
      <c r="E14" s="99">
        <f>C14/$C$26</f>
        <v>0.12181785529884945</v>
      </c>
      <c r="F14" s="99">
        <f>E14*12</f>
        <v>1.4618142635861933</v>
      </c>
      <c r="G14" s="99">
        <f>F14^$F$5</f>
        <v>1.3044412881266489</v>
      </c>
      <c r="H14" s="16"/>
      <c r="I14" s="100">
        <f>AVERAGE($G$14:$G$16)</f>
        <v>1.2730958098609115</v>
      </c>
      <c r="J14" s="100">
        <f>MIN($G$14:$G$16)</f>
        <v>1.2449443812790468</v>
      </c>
      <c r="K14" s="100">
        <f>MAX($G$14:$G$16)</f>
        <v>1.3044412881266489</v>
      </c>
      <c r="L14" s="45"/>
      <c r="M14" s="45"/>
      <c r="N14" s="45"/>
    </row>
    <row r="15" spans="1:14" x14ac:dyDescent="0.45">
      <c r="A15" s="56">
        <v>29</v>
      </c>
      <c r="B15" s="5" t="s">
        <v>1</v>
      </c>
      <c r="C15" s="96">
        <v>298.47471074380172</v>
      </c>
      <c r="D15" s="98">
        <f t="shared" ref="D15:D25" si="0">$C$26</f>
        <v>2619.1494897934926</v>
      </c>
      <c r="E15" s="99">
        <f>C15/$C$26</f>
        <v>0.11395863882795595</v>
      </c>
      <c r="F15" s="99">
        <f t="shared" ref="F15:F25" si="1">E15*12</f>
        <v>1.3675036659354713</v>
      </c>
      <c r="G15" s="99">
        <f t="shared" ref="G15:G25" si="2">F15^$F$5</f>
        <v>1.2449443812790468</v>
      </c>
      <c r="H15" s="16"/>
      <c r="I15" s="100">
        <f>AVERAGE($G$14:$G$16)</f>
        <v>1.2730958098609115</v>
      </c>
      <c r="J15" s="100">
        <f t="shared" ref="J15:J16" si="3">MIN($G$14:$G$16)</f>
        <v>1.2449443812790468</v>
      </c>
      <c r="K15" s="100">
        <f t="shared" ref="K15:K16" si="4">MAX($G$14:$G$16)</f>
        <v>1.3044412881266489</v>
      </c>
      <c r="L15" s="45"/>
      <c r="M15" s="45"/>
      <c r="N15" s="45"/>
    </row>
    <row r="16" spans="1:14" x14ac:dyDescent="0.45">
      <c r="A16" s="56">
        <v>31</v>
      </c>
      <c r="B16" s="5" t="s">
        <v>14</v>
      </c>
      <c r="C16" s="96">
        <v>307.05917355371906</v>
      </c>
      <c r="D16" s="98">
        <f t="shared" si="0"/>
        <v>2619.1494897934926</v>
      </c>
      <c r="E16" s="99">
        <f t="shared" ref="E16:E25" si="5">C16/$C$26</f>
        <v>0.11723621532497147</v>
      </c>
      <c r="F16" s="99">
        <f t="shared" si="1"/>
        <v>1.4068345838996577</v>
      </c>
      <c r="G16" s="99">
        <f t="shared" si="2"/>
        <v>1.2699017601770386</v>
      </c>
      <c r="H16" s="16"/>
      <c r="I16" s="100">
        <f>AVERAGE($G$14:$G$16)</f>
        <v>1.2730958098609115</v>
      </c>
      <c r="J16" s="100">
        <f t="shared" si="3"/>
        <v>1.2449443812790468</v>
      </c>
      <c r="K16" s="100">
        <f t="shared" si="4"/>
        <v>1.3044412881266489</v>
      </c>
      <c r="L16" s="46"/>
      <c r="M16" s="46"/>
      <c r="N16" s="46"/>
    </row>
    <row r="17" spans="1:24" x14ac:dyDescent="0.45">
      <c r="A17" s="56">
        <v>30</v>
      </c>
      <c r="B17" s="5" t="s">
        <v>2</v>
      </c>
      <c r="C17" s="96">
        <v>203.8473088374264</v>
      </c>
      <c r="D17" s="98">
        <f t="shared" si="0"/>
        <v>2619.1494897934926</v>
      </c>
      <c r="E17" s="99">
        <f t="shared" si="5"/>
        <v>7.7829581561417019E-2</v>
      </c>
      <c r="F17" s="99">
        <f>E17*12</f>
        <v>0.93395497873700428</v>
      </c>
      <c r="G17" s="99">
        <f>F17^$F$5</f>
        <v>0.95329685249088836</v>
      </c>
      <c r="H17" s="16"/>
      <c r="I17" s="100">
        <f>AVERAGE($G$17:$G$19)</f>
        <v>0.83943867139803785</v>
      </c>
      <c r="J17" s="100">
        <f>MIN($G$17:$G$19)</f>
        <v>0.70918428340739859</v>
      </c>
      <c r="K17" s="100">
        <f>MAX($G$17:$G$19)</f>
        <v>0.95329685249088836</v>
      </c>
      <c r="L17" s="46"/>
      <c r="M17" s="46"/>
      <c r="N17" s="46"/>
      <c r="S17" s="11"/>
      <c r="T17" s="11"/>
      <c r="U17" s="11"/>
      <c r="V17" s="11"/>
      <c r="W17" s="11"/>
    </row>
    <row r="18" spans="1:24" x14ac:dyDescent="0.45">
      <c r="A18" s="56">
        <v>31</v>
      </c>
      <c r="B18" s="5" t="s">
        <v>15</v>
      </c>
      <c r="C18" s="96">
        <v>174.74038976821106</v>
      </c>
      <c r="D18" s="98">
        <f t="shared" si="0"/>
        <v>2619.1494897934926</v>
      </c>
      <c r="E18" s="99">
        <f t="shared" si="5"/>
        <v>6.6716462901087972E-2</v>
      </c>
      <c r="F18" s="99">
        <f t="shared" si="1"/>
        <v>0.80059755481305572</v>
      </c>
      <c r="G18" s="99">
        <f t="shared" si="2"/>
        <v>0.85583487829582672</v>
      </c>
      <c r="H18" s="16"/>
      <c r="I18" s="100">
        <f t="shared" ref="I18:I19" si="6">AVERAGE($G$17:$G$19)</f>
        <v>0.83943867139803785</v>
      </c>
      <c r="J18" s="100">
        <f t="shared" ref="J18:J19" si="7">MIN($G$17:$G$19)</f>
        <v>0.70918428340739859</v>
      </c>
      <c r="K18" s="100">
        <f t="shared" ref="K18:K19" si="8">MAX($G$17:$G$19)</f>
        <v>0.95329685249088836</v>
      </c>
      <c r="L18" s="46"/>
      <c r="M18" s="46"/>
      <c r="N18" s="46"/>
      <c r="S18" s="11"/>
      <c r="T18" s="11"/>
      <c r="U18" s="11"/>
      <c r="V18" s="11"/>
      <c r="W18" s="11"/>
    </row>
    <row r="19" spans="1:24" x14ac:dyDescent="0.45">
      <c r="A19" s="56">
        <v>30</v>
      </c>
      <c r="B19" s="5" t="s">
        <v>3</v>
      </c>
      <c r="C19" s="96">
        <v>133.59117154933722</v>
      </c>
      <c r="D19" s="98">
        <f t="shared" si="0"/>
        <v>2619.1494897934926</v>
      </c>
      <c r="E19" s="99">
        <f>C19/$C$26</f>
        <v>5.1005554310636254E-2</v>
      </c>
      <c r="F19" s="99">
        <f t="shared" si="1"/>
        <v>0.61206665172763508</v>
      </c>
      <c r="G19" s="99">
        <f t="shared" si="2"/>
        <v>0.70918428340739859</v>
      </c>
      <c r="H19" s="16"/>
      <c r="I19" s="100">
        <f t="shared" si="6"/>
        <v>0.83943867139803785</v>
      </c>
      <c r="J19" s="100">
        <f t="shared" si="7"/>
        <v>0.70918428340739859</v>
      </c>
      <c r="K19" s="100">
        <f t="shared" si="8"/>
        <v>0.95329685249088836</v>
      </c>
      <c r="L19" s="46"/>
      <c r="M19" s="46"/>
      <c r="N19" s="46"/>
      <c r="S19" s="11"/>
      <c r="T19" s="11"/>
      <c r="U19" s="11"/>
      <c r="V19" s="11"/>
      <c r="W19" s="11"/>
    </row>
    <row r="20" spans="1:24" x14ac:dyDescent="0.45">
      <c r="A20" s="56">
        <v>31</v>
      </c>
      <c r="B20" s="5" t="s">
        <v>4</v>
      </c>
      <c r="C20" s="96">
        <v>108.41045945541651</v>
      </c>
      <c r="D20" s="98">
        <f t="shared" si="0"/>
        <v>2619.1494897934926</v>
      </c>
      <c r="E20" s="99">
        <f>C20/$C$26</f>
        <v>4.1391474552284591E-2</v>
      </c>
      <c r="F20" s="99">
        <f>E20*12</f>
        <v>0.49669769462741509</v>
      </c>
      <c r="G20" s="99">
        <f>F20^$F$5</f>
        <v>0.61272344876567564</v>
      </c>
      <c r="H20" s="16"/>
      <c r="I20" s="100">
        <f>AVERAGE($G$20:$G$22)</f>
        <v>0.66288676195428353</v>
      </c>
      <c r="J20" s="100">
        <f>MIN($G$20:$G$22)</f>
        <v>0.61272344876567564</v>
      </c>
      <c r="K20" s="100">
        <f>MAX($G$20:$G$22)</f>
        <v>0.73319996249851227</v>
      </c>
      <c r="L20" s="46"/>
      <c r="M20" s="46"/>
      <c r="N20" s="46"/>
      <c r="S20" s="10"/>
      <c r="T20" s="10"/>
      <c r="U20" s="10"/>
      <c r="V20" s="10"/>
      <c r="W20" s="10"/>
    </row>
    <row r="21" spans="1:24" x14ac:dyDescent="0.45">
      <c r="A21" s="56">
        <v>31</v>
      </c>
      <c r="B21" s="5" t="s">
        <v>5</v>
      </c>
      <c r="C21" s="96">
        <v>116.07555765242853</v>
      </c>
      <c r="D21" s="98">
        <f t="shared" si="0"/>
        <v>2619.1494897934926</v>
      </c>
      <c r="E21" s="99">
        <f t="shared" si="5"/>
        <v>4.4318034577545448E-2</v>
      </c>
      <c r="F21" s="99">
        <f t="shared" si="1"/>
        <v>0.53181641493054532</v>
      </c>
      <c r="G21" s="99">
        <f t="shared" si="2"/>
        <v>0.64273687459866269</v>
      </c>
      <c r="H21" s="16"/>
      <c r="I21" s="100">
        <f t="shared" ref="I21:I22" si="9">AVERAGE($G$20:$G$22)</f>
        <v>0.66288676195428353</v>
      </c>
      <c r="J21" s="100">
        <f t="shared" ref="J21:J22" si="10">MIN($G$20:$G$22)</f>
        <v>0.61272344876567564</v>
      </c>
      <c r="K21" s="100">
        <f t="shared" ref="K21:K22" si="11">MAX($G$20:$G$22)</f>
        <v>0.73319996249851227</v>
      </c>
      <c r="L21" s="46"/>
      <c r="M21" s="46"/>
      <c r="N21" s="46"/>
      <c r="S21" s="10"/>
      <c r="T21" s="10"/>
      <c r="U21" s="10"/>
      <c r="V21" s="10"/>
      <c r="W21" s="10"/>
    </row>
    <row r="22" spans="1:24" x14ac:dyDescent="0.45">
      <c r="A22" s="56">
        <v>30</v>
      </c>
      <c r="B22" s="5" t="s">
        <v>6</v>
      </c>
      <c r="C22" s="96">
        <v>140.10049213823041</v>
      </c>
      <c r="D22" s="98">
        <f t="shared" si="0"/>
        <v>2619.1494897934926</v>
      </c>
      <c r="E22" s="99">
        <f t="shared" si="5"/>
        <v>5.3490834595041253E-2</v>
      </c>
      <c r="F22" s="99">
        <f t="shared" si="1"/>
        <v>0.64189001514049504</v>
      </c>
      <c r="G22" s="99">
        <f t="shared" si="2"/>
        <v>0.73319996249851227</v>
      </c>
      <c r="H22" s="16"/>
      <c r="I22" s="100">
        <f t="shared" si="9"/>
        <v>0.66288676195428353</v>
      </c>
      <c r="J22" s="100">
        <f t="shared" si="10"/>
        <v>0.61272344876567564</v>
      </c>
      <c r="K22" s="100">
        <f t="shared" si="11"/>
        <v>0.73319996249851227</v>
      </c>
      <c r="L22" s="46"/>
      <c r="M22" s="46"/>
      <c r="N22" s="46"/>
      <c r="S22" s="10"/>
      <c r="T22" s="10"/>
      <c r="U22" s="10"/>
      <c r="V22" s="10"/>
      <c r="W22" s="10"/>
    </row>
    <row r="23" spans="1:24" x14ac:dyDescent="0.45">
      <c r="A23" s="56">
        <v>31</v>
      </c>
      <c r="B23" s="5" t="s">
        <v>16</v>
      </c>
      <c r="C23" s="96">
        <v>217.96493683872308</v>
      </c>
      <c r="D23" s="98">
        <f t="shared" si="0"/>
        <v>2619.1494897934926</v>
      </c>
      <c r="E23" s="99">
        <f t="shared" si="5"/>
        <v>8.321973896034035E-2</v>
      </c>
      <c r="F23" s="99">
        <f t="shared" si="1"/>
        <v>0.9986368675240842</v>
      </c>
      <c r="G23" s="99">
        <f t="shared" si="2"/>
        <v>0.99904561204785713</v>
      </c>
      <c r="H23" s="16"/>
      <c r="I23" s="100">
        <f>AVERAGE($G$23:$G$25)</f>
        <v>1.1654190990428404</v>
      </c>
      <c r="J23" s="100">
        <f>MIN($G$23:$G$25)</f>
        <v>0.99904561204785713</v>
      </c>
      <c r="K23" s="100">
        <f>MAX($G$23:$G$25)</f>
        <v>1.3044412881266489</v>
      </c>
      <c r="L23" s="46"/>
      <c r="M23" s="46"/>
      <c r="N23" s="46"/>
      <c r="S23" s="13"/>
      <c r="T23" s="13"/>
      <c r="U23" s="13"/>
      <c r="V23" s="13"/>
      <c r="W23" s="13"/>
    </row>
    <row r="24" spans="1:24" x14ac:dyDescent="0.45">
      <c r="A24" s="56">
        <v>30</v>
      </c>
      <c r="B24" s="5" t="s">
        <v>7</v>
      </c>
      <c r="C24" s="96">
        <v>280.76694214876039</v>
      </c>
      <c r="D24" s="98">
        <f t="shared" si="0"/>
        <v>2619.1494897934926</v>
      </c>
      <c r="E24" s="99">
        <f t="shared" si="5"/>
        <v>0.10719775379102073</v>
      </c>
      <c r="F24" s="99">
        <f t="shared" si="1"/>
        <v>1.2863730454922488</v>
      </c>
      <c r="G24" s="99">
        <f t="shared" si="2"/>
        <v>1.1927703969540147</v>
      </c>
      <c r="H24" s="16"/>
      <c r="I24" s="100">
        <f t="shared" ref="I24:I25" si="12">AVERAGE($G$23:$G$25)</f>
        <v>1.1654190990428404</v>
      </c>
      <c r="J24" s="100">
        <f t="shared" ref="J24:J25" si="13">MIN($G$23:$G$25)</f>
        <v>0.99904561204785713</v>
      </c>
      <c r="K24" s="100">
        <f t="shared" ref="K24:K25" si="14">MAX($G$23:$G$25)</f>
        <v>1.3044412881266489</v>
      </c>
      <c r="L24" s="46"/>
      <c r="M24" s="46"/>
      <c r="N24" s="46"/>
      <c r="S24" s="12"/>
      <c r="T24" s="12"/>
      <c r="U24" s="12"/>
      <c r="V24" s="12"/>
      <c r="W24" s="12"/>
    </row>
    <row r="25" spans="1:24" x14ac:dyDescent="0.45">
      <c r="A25" s="56">
        <v>31</v>
      </c>
      <c r="B25" s="5" t="s">
        <v>17</v>
      </c>
      <c r="C25" s="97">
        <v>319.05917355371906</v>
      </c>
      <c r="D25" s="98">
        <f t="shared" si="0"/>
        <v>2619.1494897934926</v>
      </c>
      <c r="E25" s="99">
        <f t="shared" si="5"/>
        <v>0.12181785529884945</v>
      </c>
      <c r="F25" s="99">
        <f t="shared" si="1"/>
        <v>1.4618142635861933</v>
      </c>
      <c r="G25" s="99">
        <f t="shared" si="2"/>
        <v>1.3044412881266489</v>
      </c>
      <c r="H25" s="16"/>
      <c r="I25" s="100">
        <f t="shared" si="12"/>
        <v>1.1654190990428404</v>
      </c>
      <c r="J25" s="100">
        <f t="shared" si="13"/>
        <v>0.99904561204785713</v>
      </c>
      <c r="K25" s="100">
        <f t="shared" si="14"/>
        <v>1.3044412881266489</v>
      </c>
      <c r="L25" s="46"/>
      <c r="M25" s="46"/>
      <c r="N25" s="46"/>
      <c r="S25" s="14"/>
      <c r="T25" s="14"/>
      <c r="U25" s="14"/>
      <c r="V25" s="14"/>
      <c r="W25" s="14"/>
      <c r="X25" s="14"/>
    </row>
    <row r="26" spans="1:24" x14ac:dyDescent="0.45">
      <c r="B26" s="4" t="s">
        <v>10</v>
      </c>
      <c r="C26" s="55">
        <f>SUM(C14:C25)</f>
        <v>2619.1494897934926</v>
      </c>
      <c r="D26" s="1"/>
      <c r="I26" s="47"/>
      <c r="J26" s="48"/>
      <c r="K26" s="46"/>
      <c r="L26" s="46"/>
      <c r="M26" s="46"/>
      <c r="N26" s="46"/>
      <c r="S26" s="13"/>
      <c r="T26" s="13"/>
      <c r="U26" s="13"/>
      <c r="V26" s="13"/>
      <c r="W26" s="13"/>
    </row>
    <row r="27" spans="1:24" x14ac:dyDescent="0.45">
      <c r="I27" s="47"/>
      <c r="J27" s="45"/>
      <c r="K27" s="46"/>
      <c r="L27" s="46"/>
      <c r="M27" s="46"/>
      <c r="N27" s="46"/>
    </row>
    <row r="28" spans="1:24" x14ac:dyDescent="0.45">
      <c r="I28" s="45"/>
      <c r="J28" s="45"/>
      <c r="K28" s="46"/>
      <c r="L28" s="46"/>
      <c r="M28" s="46"/>
      <c r="N28" s="46"/>
    </row>
    <row r="30" spans="1:24" x14ac:dyDescent="0.45">
      <c r="C30" s="57" t="s">
        <v>43</v>
      </c>
      <c r="K30" s="120" t="s">
        <v>72</v>
      </c>
      <c r="L30" s="120"/>
      <c r="M30" s="64"/>
      <c r="N30" s="64"/>
      <c r="O30" s="64"/>
      <c r="P30" s="64"/>
      <c r="Q30" s="64"/>
      <c r="R30" s="64"/>
    </row>
    <row r="31" spans="1:24" ht="71.25" x14ac:dyDescent="0.45">
      <c r="A31" s="1" t="s">
        <v>75</v>
      </c>
      <c r="B31" s="49" t="s">
        <v>51</v>
      </c>
      <c r="C31" s="58" t="s">
        <v>44</v>
      </c>
      <c r="E31" s="91" t="s">
        <v>59</v>
      </c>
      <c r="G31" s="61" t="s">
        <v>49</v>
      </c>
      <c r="H31" s="62" t="s">
        <v>52</v>
      </c>
      <c r="J31" s="85" t="s">
        <v>53</v>
      </c>
      <c r="K31" s="86" t="s">
        <v>71</v>
      </c>
      <c r="L31" s="86" t="s">
        <v>61</v>
      </c>
      <c r="M31" s="60"/>
      <c r="N31" s="1"/>
      <c r="O31" s="1"/>
      <c r="P31" s="1"/>
      <c r="Q31" s="1"/>
      <c r="R31" s="1"/>
    </row>
    <row r="32" spans="1:24" x14ac:dyDescent="0.45">
      <c r="A32" s="90">
        <f>C5</f>
        <v>1.4</v>
      </c>
      <c r="B32" s="4">
        <v>1</v>
      </c>
      <c r="C32" s="90">
        <f t="shared" ref="C32:C43" si="15">IF($H$9="A",I14*A32,IF($H$9="B",J14*A32,K14*A32))</f>
        <v>1.7429221337906655</v>
      </c>
      <c r="D32" s="118" t="s">
        <v>57</v>
      </c>
      <c r="E32" s="92">
        <f>G14*$C$7</f>
        <v>1.5677574326998063</v>
      </c>
      <c r="G32" s="99">
        <f>(A32*$H$5/366)*SUM($A$14:$A$16)</f>
        <v>7.9085464480874306</v>
      </c>
      <c r="H32" s="99">
        <f t="shared" ref="H32:H43" si="16">G32*IF($H$9="A",I14,IF($H$9="B",J14,K14))</f>
        <v>9.8457004646308093</v>
      </c>
      <c r="I32" s="4" t="s">
        <v>27</v>
      </c>
      <c r="J32" s="99">
        <f>H32*4</f>
        <v>39.382801858523237</v>
      </c>
      <c r="K32" s="103">
        <f>J32/$H$5</f>
        <v>1.7333979691251427</v>
      </c>
      <c r="L32" s="104">
        <f t="shared" ref="L32:L34" si="17">K32/4</f>
        <v>0.43334949228128566</v>
      </c>
    </row>
    <row r="33" spans="1:13" x14ac:dyDescent="0.45">
      <c r="A33" s="90">
        <f>A32</f>
        <v>1.4</v>
      </c>
      <c r="B33" s="4">
        <v>1</v>
      </c>
      <c r="C33" s="90">
        <f t="shared" si="15"/>
        <v>1.7429221337906655</v>
      </c>
      <c r="D33" s="118"/>
      <c r="E33" s="92">
        <f t="shared" ref="E33:E43" si="18">G15*$C$7</f>
        <v>1.4962504060654882</v>
      </c>
      <c r="G33" s="99">
        <f>(A33*$H$5/366)*SUM($A$14:$A$16)</f>
        <v>7.9085464480874306</v>
      </c>
      <c r="H33" s="99">
        <f t="shared" si="16"/>
        <v>9.8457004646308093</v>
      </c>
      <c r="I33" s="4" t="s">
        <v>27</v>
      </c>
      <c r="J33" s="99">
        <f t="shared" ref="J33:J43" si="19">H33*4</f>
        <v>39.382801858523237</v>
      </c>
      <c r="K33" s="103">
        <f t="shared" ref="K33:K43" si="20">J33/$H$5</f>
        <v>1.7333979691251427</v>
      </c>
      <c r="L33" s="104">
        <f t="shared" si="17"/>
        <v>0.43334949228128566</v>
      </c>
    </row>
    <row r="34" spans="1:13" x14ac:dyDescent="0.45">
      <c r="A34" s="90">
        <f t="shared" ref="A34:A43" si="21">A33</f>
        <v>1.4</v>
      </c>
      <c r="B34" s="4">
        <v>1</v>
      </c>
      <c r="C34" s="90">
        <f t="shared" si="15"/>
        <v>1.7429221337906655</v>
      </c>
      <c r="D34" s="118"/>
      <c r="E34" s="92">
        <f t="shared" si="18"/>
        <v>1.5262457125803746</v>
      </c>
      <c r="G34" s="99">
        <f>(A34*$H$5/366)*SUM($A$14:$A$16)</f>
        <v>7.9085464480874306</v>
      </c>
      <c r="H34" s="99">
        <f t="shared" si="16"/>
        <v>9.8457004646308093</v>
      </c>
      <c r="I34" s="4" t="s">
        <v>27</v>
      </c>
      <c r="J34" s="99">
        <f t="shared" si="19"/>
        <v>39.382801858523237</v>
      </c>
      <c r="K34" s="103">
        <f t="shared" si="20"/>
        <v>1.7333979691251427</v>
      </c>
      <c r="L34" s="104">
        <f t="shared" si="17"/>
        <v>0.43334949228128566</v>
      </c>
      <c r="M34" s="16"/>
    </row>
    <row r="35" spans="1:13" x14ac:dyDescent="0.45">
      <c r="A35" s="90">
        <f t="shared" si="21"/>
        <v>1.4</v>
      </c>
      <c r="B35" s="4">
        <v>2</v>
      </c>
      <c r="C35" s="90">
        <f t="shared" si="15"/>
        <v>0.99285799677035791</v>
      </c>
      <c r="D35" s="118"/>
      <c r="E35" s="92">
        <f t="shared" si="18"/>
        <v>1.1457305435404275</v>
      </c>
      <c r="G35" s="99">
        <f>(A35*$H$5/366)*SUM($A$17:$A$19)</f>
        <v>7.9085464480874306</v>
      </c>
      <c r="H35" s="99">
        <f t="shared" si="16"/>
        <v>5.6086168455810119</v>
      </c>
      <c r="I35" s="4" t="s">
        <v>28</v>
      </c>
      <c r="J35" s="99">
        <f t="shared" si="19"/>
        <v>22.434467382324048</v>
      </c>
      <c r="K35" s="103">
        <f t="shared" si="20"/>
        <v>0.98743254323609375</v>
      </c>
      <c r="L35" s="104">
        <f>K35/4</f>
        <v>0.24685813580902344</v>
      </c>
      <c r="M35" s="16"/>
    </row>
    <row r="36" spans="1:13" x14ac:dyDescent="0.45">
      <c r="A36" s="90">
        <f t="shared" si="21"/>
        <v>1.4</v>
      </c>
      <c r="B36" s="4">
        <v>2</v>
      </c>
      <c r="C36" s="90">
        <f t="shared" si="15"/>
        <v>0.99285799677035791</v>
      </c>
      <c r="D36" s="118"/>
      <c r="E36" s="92">
        <f t="shared" si="18"/>
        <v>1.0285947737356087</v>
      </c>
      <c r="G36" s="99">
        <f>(A36*$H$5/366)*SUM($A$17:$A$19)</f>
        <v>7.9085464480874306</v>
      </c>
      <c r="H36" s="99">
        <f t="shared" si="16"/>
        <v>5.6086168455810119</v>
      </c>
      <c r="I36" s="4" t="s">
        <v>28</v>
      </c>
      <c r="J36" s="99">
        <f t="shared" si="19"/>
        <v>22.434467382324048</v>
      </c>
      <c r="K36" s="103">
        <f t="shared" si="20"/>
        <v>0.98743254323609375</v>
      </c>
      <c r="L36" s="104">
        <f t="shared" ref="L36:L43" si="22">K36/4</f>
        <v>0.24685813580902344</v>
      </c>
      <c r="M36" s="16"/>
    </row>
    <row r="37" spans="1:13" x14ac:dyDescent="0.45">
      <c r="A37" s="90">
        <f t="shared" si="21"/>
        <v>1.4</v>
      </c>
      <c r="B37" s="4">
        <v>2</v>
      </c>
      <c r="C37" s="90">
        <f t="shared" si="15"/>
        <v>0.99285799677035791</v>
      </c>
      <c r="D37" s="118"/>
      <c r="E37" s="92">
        <f t="shared" si="18"/>
        <v>0.8523411069443908</v>
      </c>
      <c r="G37" s="99">
        <f>(A37*$H$5/366)*SUM($A$17:$A$19)</f>
        <v>7.9085464480874306</v>
      </c>
      <c r="H37" s="99">
        <f t="shared" si="16"/>
        <v>5.6086168455810119</v>
      </c>
      <c r="I37" s="4" t="s">
        <v>28</v>
      </c>
      <c r="J37" s="99">
        <f t="shared" si="19"/>
        <v>22.434467382324048</v>
      </c>
      <c r="K37" s="103">
        <f t="shared" si="20"/>
        <v>0.98743254323609375</v>
      </c>
      <c r="L37" s="104">
        <f t="shared" si="22"/>
        <v>0.24685813580902344</v>
      </c>
      <c r="M37" s="16"/>
    </row>
    <row r="38" spans="1:13" x14ac:dyDescent="0.45">
      <c r="A38" s="90">
        <f t="shared" si="21"/>
        <v>1.4</v>
      </c>
      <c r="B38" s="4">
        <v>3</v>
      </c>
      <c r="C38" s="90">
        <f t="shared" si="15"/>
        <v>0.85781282827194583</v>
      </c>
      <c r="D38" s="118"/>
      <c r="E38" s="92">
        <f t="shared" si="18"/>
        <v>0.73640856797119525</v>
      </c>
      <c r="G38" s="99">
        <f>(A38*$H$5/366)*SUM($A$20:$A$22)</f>
        <v>7.9954535519125667</v>
      </c>
      <c r="H38" s="99">
        <f t="shared" si="16"/>
        <v>4.8990018747736386</v>
      </c>
      <c r="I38" s="4" t="s">
        <v>29</v>
      </c>
      <c r="J38" s="99">
        <f t="shared" si="19"/>
        <v>19.596007499094554</v>
      </c>
      <c r="K38" s="103">
        <f t="shared" si="20"/>
        <v>0.86250033006578153</v>
      </c>
      <c r="L38" s="104">
        <f t="shared" si="22"/>
        <v>0.21562508251644538</v>
      </c>
      <c r="M38" s="16"/>
    </row>
    <row r="39" spans="1:13" x14ac:dyDescent="0.45">
      <c r="A39" s="90">
        <f t="shared" si="21"/>
        <v>1.4</v>
      </c>
      <c r="B39" s="4">
        <v>3</v>
      </c>
      <c r="C39" s="90">
        <f t="shared" si="15"/>
        <v>0.85781282827194583</v>
      </c>
      <c r="D39" s="118"/>
      <c r="E39" s="92">
        <f t="shared" si="18"/>
        <v>0.77248054135838029</v>
      </c>
      <c r="G39" s="99">
        <f>(A39*$H$5/366)*SUM($A$20:$A$22)</f>
        <v>7.9954535519125667</v>
      </c>
      <c r="H39" s="99">
        <f t="shared" si="16"/>
        <v>4.8990018747736386</v>
      </c>
      <c r="I39" s="4" t="s">
        <v>29</v>
      </c>
      <c r="J39" s="99">
        <f t="shared" si="19"/>
        <v>19.596007499094554</v>
      </c>
      <c r="K39" s="103">
        <f t="shared" si="20"/>
        <v>0.86250033006578153</v>
      </c>
      <c r="L39" s="104">
        <f t="shared" si="22"/>
        <v>0.21562508251644538</v>
      </c>
      <c r="M39" s="16"/>
    </row>
    <row r="40" spans="1:13" x14ac:dyDescent="0.45">
      <c r="A40" s="90">
        <f t="shared" si="21"/>
        <v>1.4</v>
      </c>
      <c r="B40" s="4">
        <v>3</v>
      </c>
      <c r="C40" s="90">
        <f t="shared" si="15"/>
        <v>0.85781282827194583</v>
      </c>
      <c r="D40" s="118"/>
      <c r="E40" s="92">
        <f t="shared" si="18"/>
        <v>0.88120462095543406</v>
      </c>
      <c r="G40" s="99">
        <f>(A40*$H$5/366)*SUM($A$20:$A$22)</f>
        <v>7.9954535519125667</v>
      </c>
      <c r="H40" s="99">
        <f t="shared" si="16"/>
        <v>4.8990018747736386</v>
      </c>
      <c r="I40" s="4" t="s">
        <v>29</v>
      </c>
      <c r="J40" s="99">
        <f t="shared" si="19"/>
        <v>19.596007499094554</v>
      </c>
      <c r="K40" s="103">
        <f t="shared" si="20"/>
        <v>0.86250033006578153</v>
      </c>
      <c r="L40" s="104">
        <f t="shared" si="22"/>
        <v>0.21562508251644538</v>
      </c>
      <c r="M40" s="16"/>
    </row>
    <row r="41" spans="1:13" x14ac:dyDescent="0.45">
      <c r="A41" s="90">
        <f t="shared" si="21"/>
        <v>1.4</v>
      </c>
      <c r="B41" s="4">
        <v>4</v>
      </c>
      <c r="C41" s="90">
        <f t="shared" si="15"/>
        <v>1.398663856867</v>
      </c>
      <c r="D41" s="118"/>
      <c r="E41" s="92">
        <f t="shared" si="18"/>
        <v>1.2007142047332113</v>
      </c>
      <c r="G41" s="99">
        <f>(A41*$H$5/366)*SUM($A$23:$A$25)</f>
        <v>7.9954535519125667</v>
      </c>
      <c r="H41" s="99">
        <f t="shared" si="16"/>
        <v>7.9878227873707033</v>
      </c>
      <c r="I41" s="4" t="s">
        <v>30</v>
      </c>
      <c r="J41" s="99">
        <f t="shared" si="19"/>
        <v>31.951291149482813</v>
      </c>
      <c r="K41" s="103">
        <f t="shared" si="20"/>
        <v>1.4063068287624478</v>
      </c>
      <c r="L41" s="104">
        <f t="shared" si="22"/>
        <v>0.35157670719061196</v>
      </c>
      <c r="M41" s="16"/>
    </row>
    <row r="42" spans="1:13" x14ac:dyDescent="0.45">
      <c r="A42" s="90">
        <f t="shared" si="21"/>
        <v>1.4</v>
      </c>
      <c r="B42" s="4">
        <v>4</v>
      </c>
      <c r="C42" s="90">
        <f t="shared" si="15"/>
        <v>1.398663856867</v>
      </c>
      <c r="D42" s="118"/>
      <c r="E42" s="92">
        <f t="shared" si="18"/>
        <v>1.4335445162231002</v>
      </c>
      <c r="G42" s="99">
        <f>(A42*$H$5/366)*SUM($A$23:$A$25)</f>
        <v>7.9954535519125667</v>
      </c>
      <c r="H42" s="99">
        <f t="shared" si="16"/>
        <v>7.9878227873707033</v>
      </c>
      <c r="I42" s="4" t="s">
        <v>30</v>
      </c>
      <c r="J42" s="99">
        <f>H42*4</f>
        <v>31.951291149482813</v>
      </c>
      <c r="K42" s="103">
        <f>J42/$H$5</f>
        <v>1.4063068287624478</v>
      </c>
      <c r="L42" s="104">
        <f t="shared" si="22"/>
        <v>0.35157670719061196</v>
      </c>
      <c r="M42" s="16"/>
    </row>
    <row r="43" spans="1:13" x14ac:dyDescent="0.45">
      <c r="A43" s="90">
        <f t="shared" si="21"/>
        <v>1.4</v>
      </c>
      <c r="B43" s="4">
        <v>4</v>
      </c>
      <c r="C43" s="101">
        <f t="shared" si="15"/>
        <v>1.398663856867</v>
      </c>
      <c r="D43" s="118"/>
      <c r="E43" s="92">
        <f t="shared" si="18"/>
        <v>1.5677574326998063</v>
      </c>
      <c r="G43" s="99">
        <f>(A43*$H$5/366)*SUM($A$23:$A$25)</f>
        <v>7.9954535519125667</v>
      </c>
      <c r="H43" s="99">
        <f t="shared" si="16"/>
        <v>7.9878227873707033</v>
      </c>
      <c r="I43" s="4" t="s">
        <v>30</v>
      </c>
      <c r="J43" s="99">
        <f t="shared" si="19"/>
        <v>31.951291149482813</v>
      </c>
      <c r="K43" s="103">
        <f t="shared" si="20"/>
        <v>1.4063068287624478</v>
      </c>
      <c r="L43" s="104">
        <f t="shared" si="22"/>
        <v>0.35157670719061196</v>
      </c>
      <c r="M43" s="16"/>
    </row>
    <row r="44" spans="1:13" x14ac:dyDescent="0.45">
      <c r="B44" s="4" t="s">
        <v>13</v>
      </c>
      <c r="C44" s="90">
        <f>AVERAGE(C32:C43)</f>
        <v>1.2480642039249923</v>
      </c>
      <c r="D44" s="118"/>
    </row>
    <row r="47" spans="1:13" ht="14.25" customHeight="1" x14ac:dyDescent="0.45">
      <c r="B47" s="1"/>
      <c r="C47" s="116" t="s">
        <v>21</v>
      </c>
      <c r="D47" s="116"/>
      <c r="E47" s="116"/>
      <c r="G47" s="32"/>
      <c r="K47" s="120" t="s">
        <v>73</v>
      </c>
      <c r="L47" s="120"/>
    </row>
    <row r="48" spans="1:13" ht="71.25" x14ac:dyDescent="0.45">
      <c r="A48" s="1" t="s">
        <v>75</v>
      </c>
      <c r="B48" s="49" t="s">
        <v>33</v>
      </c>
      <c r="C48" s="3" t="s">
        <v>23</v>
      </c>
      <c r="D48" s="3"/>
      <c r="E48" s="91" t="s">
        <v>25</v>
      </c>
      <c r="G48" s="61" t="s">
        <v>39</v>
      </c>
      <c r="H48" s="62" t="s">
        <v>52</v>
      </c>
      <c r="J48" s="87" t="s">
        <v>78</v>
      </c>
      <c r="K48" s="86" t="s">
        <v>71</v>
      </c>
      <c r="L48" s="86" t="s">
        <v>61</v>
      </c>
    </row>
    <row r="49" spans="1:12" x14ac:dyDescent="0.45">
      <c r="A49" s="90">
        <f>D5</f>
        <v>1.5</v>
      </c>
      <c r="B49" s="4" t="s">
        <v>0</v>
      </c>
      <c r="C49" s="90">
        <f t="shared" ref="C49:C60" si="23">G14*A49</f>
        <v>1.9566619321899734</v>
      </c>
      <c r="D49" s="118" t="s">
        <v>32</v>
      </c>
      <c r="E49" s="92">
        <f t="shared" ref="E49:E60" si="24">G14*D$7</f>
        <v>1.3240234821387109</v>
      </c>
      <c r="G49" s="99">
        <f t="shared" ref="G49:G60" si="25">($D$5*$H$5/366)*A14</f>
        <v>2.8865573770491801</v>
      </c>
      <c r="H49" s="99">
        <f t="shared" ref="H49:H60" si="26">G49*IF($C$61&gt;1.5,E49,G14)</f>
        <v>3.7653446231695136</v>
      </c>
      <c r="J49" s="99">
        <f t="shared" ref="J49:J60" si="27">H49*12</f>
        <v>45.184135478034165</v>
      </c>
      <c r="K49" s="103">
        <f t="shared" ref="K49:K60" si="28">J49/$H$5</f>
        <v>1.9887383573078419</v>
      </c>
      <c r="L49" s="104">
        <f>K49/12</f>
        <v>0.16572819644232015</v>
      </c>
    </row>
    <row r="50" spans="1:12" x14ac:dyDescent="0.45">
      <c r="A50" s="90">
        <f>A49</f>
        <v>1.5</v>
      </c>
      <c r="B50" s="4" t="s">
        <v>1</v>
      </c>
      <c r="C50" s="90">
        <f t="shared" si="23"/>
        <v>1.8674165719185702</v>
      </c>
      <c r="D50" s="118"/>
      <c r="E50" s="92">
        <f t="shared" si="24"/>
        <v>1.2636334113107808</v>
      </c>
      <c r="G50" s="99">
        <f t="shared" si="25"/>
        <v>2.7003278688524586</v>
      </c>
      <c r="H50" s="99">
        <f t="shared" si="26"/>
        <v>3.3617580079390912</v>
      </c>
      <c r="J50" s="99">
        <f t="shared" si="27"/>
        <v>40.341096095269094</v>
      </c>
      <c r="K50" s="103">
        <f t="shared" si="28"/>
        <v>1.7755764126438862</v>
      </c>
      <c r="L50" s="104">
        <f t="shared" ref="L50:L60" si="29">K50/12</f>
        <v>0.14796470105365719</v>
      </c>
    </row>
    <row r="51" spans="1:12" x14ac:dyDescent="0.45">
      <c r="A51" s="90">
        <f t="shared" ref="A51:A60" si="30">A50</f>
        <v>1.5</v>
      </c>
      <c r="B51" s="4" t="s">
        <v>14</v>
      </c>
      <c r="C51" s="90">
        <f t="shared" si="23"/>
        <v>1.9048526402655579</v>
      </c>
      <c r="D51" s="118"/>
      <c r="E51" s="92">
        <f t="shared" si="24"/>
        <v>1.288965448876864</v>
      </c>
      <c r="G51" s="99">
        <f t="shared" si="25"/>
        <v>2.8865573770491801</v>
      </c>
      <c r="H51" s="99">
        <f t="shared" si="26"/>
        <v>3.6656442939667695</v>
      </c>
      <c r="J51" s="99">
        <f t="shared" si="27"/>
        <v>43.987731527601234</v>
      </c>
      <c r="K51" s="103">
        <f t="shared" si="28"/>
        <v>1.9360797327289276</v>
      </c>
      <c r="L51" s="104">
        <f t="shared" si="29"/>
        <v>0.16133997772741063</v>
      </c>
    </row>
    <row r="52" spans="1:12" x14ac:dyDescent="0.45">
      <c r="A52" s="90">
        <f t="shared" si="30"/>
        <v>1.5</v>
      </c>
      <c r="B52" s="4" t="s">
        <v>2</v>
      </c>
      <c r="C52" s="90">
        <f t="shared" si="23"/>
        <v>1.4299452787363325</v>
      </c>
      <c r="D52" s="118"/>
      <c r="E52" s="92">
        <f t="shared" si="24"/>
        <v>0.96760768739505931</v>
      </c>
      <c r="G52" s="99">
        <f t="shared" si="25"/>
        <v>2.7934426229508196</v>
      </c>
      <c r="H52" s="99">
        <f t="shared" si="26"/>
        <v>2.6629800600729077</v>
      </c>
      <c r="J52" s="99">
        <f t="shared" si="27"/>
        <v>31.955760720874892</v>
      </c>
      <c r="K52" s="103">
        <f t="shared" si="28"/>
        <v>1.4065035528554091</v>
      </c>
      <c r="L52" s="104">
        <f t="shared" si="29"/>
        <v>0.11720862940461742</v>
      </c>
    </row>
    <row r="53" spans="1:12" x14ac:dyDescent="0.45">
      <c r="A53" s="90">
        <f t="shared" si="30"/>
        <v>1.5</v>
      </c>
      <c r="B53" s="4" t="s">
        <v>15</v>
      </c>
      <c r="C53" s="90">
        <f t="shared" si="23"/>
        <v>1.28375231744374</v>
      </c>
      <c r="D53" s="118"/>
      <c r="E53" s="92">
        <f t="shared" si="24"/>
        <v>0.86868261991641482</v>
      </c>
      <c r="G53" s="99">
        <f t="shared" si="25"/>
        <v>2.8865573770491801</v>
      </c>
      <c r="H53" s="99">
        <f t="shared" si="26"/>
        <v>2.4704164814808061</v>
      </c>
      <c r="J53" s="99">
        <f t="shared" si="27"/>
        <v>29.644997777769674</v>
      </c>
      <c r="K53" s="103">
        <f t="shared" si="28"/>
        <v>1.3047974374018343</v>
      </c>
      <c r="L53" s="104">
        <f t="shared" si="29"/>
        <v>0.1087331197834862</v>
      </c>
    </row>
    <row r="54" spans="1:12" x14ac:dyDescent="0.45">
      <c r="A54" s="90">
        <f t="shared" si="30"/>
        <v>1.5</v>
      </c>
      <c r="B54" s="4" t="s">
        <v>3</v>
      </c>
      <c r="C54" s="90">
        <f t="shared" si="23"/>
        <v>1.0637764251110979</v>
      </c>
      <c r="D54" s="118"/>
      <c r="E54" s="92">
        <f t="shared" si="24"/>
        <v>0.71983051513464857</v>
      </c>
      <c r="G54" s="99">
        <f t="shared" si="25"/>
        <v>2.7934426229508196</v>
      </c>
      <c r="H54" s="99">
        <f t="shared" si="26"/>
        <v>1.981065604797061</v>
      </c>
      <c r="J54" s="99">
        <f t="shared" si="27"/>
        <v>23.77278725756473</v>
      </c>
      <c r="K54" s="103">
        <f t="shared" si="28"/>
        <v>1.0463374673223913</v>
      </c>
      <c r="L54" s="104">
        <f t="shared" si="29"/>
        <v>8.7194788943532608E-2</v>
      </c>
    </row>
    <row r="55" spans="1:12" x14ac:dyDescent="0.45">
      <c r="A55" s="90">
        <f t="shared" si="30"/>
        <v>1.5</v>
      </c>
      <c r="B55" s="4" t="s">
        <v>4</v>
      </c>
      <c r="C55" s="90">
        <f t="shared" si="23"/>
        <v>0.91908517314851346</v>
      </c>
      <c r="D55" s="118"/>
      <c r="E55" s="92">
        <f t="shared" si="24"/>
        <v>0.62192161625598907</v>
      </c>
      <c r="G55" s="99">
        <f t="shared" si="25"/>
        <v>2.8865573770491801</v>
      </c>
      <c r="H55" s="99">
        <f t="shared" si="26"/>
        <v>1.7686613911255764</v>
      </c>
      <c r="J55" s="99">
        <f t="shared" si="27"/>
        <v>21.223936693506918</v>
      </c>
      <c r="K55" s="103">
        <f t="shared" si="28"/>
        <v>0.93415214320012852</v>
      </c>
      <c r="L55" s="104">
        <f t="shared" si="29"/>
        <v>7.7846011933344048E-2</v>
      </c>
    </row>
    <row r="56" spans="1:12" x14ac:dyDescent="0.45">
      <c r="A56" s="90">
        <f t="shared" si="30"/>
        <v>1.5</v>
      </c>
      <c r="B56" s="4" t="s">
        <v>5</v>
      </c>
      <c r="C56" s="90">
        <f t="shared" si="23"/>
        <v>0.96410531189799409</v>
      </c>
      <c r="D56" s="118"/>
      <c r="E56" s="92">
        <f t="shared" si="24"/>
        <v>0.65238560182897964</v>
      </c>
      <c r="G56" s="99">
        <f t="shared" si="25"/>
        <v>2.8865573770491801</v>
      </c>
      <c r="H56" s="99">
        <f t="shared" si="26"/>
        <v>1.8552968668743035</v>
      </c>
      <c r="J56" s="99">
        <f t="shared" si="27"/>
        <v>22.263562402491644</v>
      </c>
      <c r="K56" s="103">
        <f t="shared" si="28"/>
        <v>0.97991031701107589</v>
      </c>
      <c r="L56" s="104">
        <f t="shared" si="29"/>
        <v>8.1659193084256329E-2</v>
      </c>
    </row>
    <row r="57" spans="1:12" x14ac:dyDescent="0.45">
      <c r="A57" s="90">
        <f t="shared" si="30"/>
        <v>1.5</v>
      </c>
      <c r="B57" s="4" t="s">
        <v>6</v>
      </c>
      <c r="C57" s="90">
        <f t="shared" si="23"/>
        <v>1.0997999437477683</v>
      </c>
      <c r="D57" s="118"/>
      <c r="E57" s="92">
        <f t="shared" si="24"/>
        <v>0.74420671615309952</v>
      </c>
      <c r="G57" s="99">
        <f t="shared" si="25"/>
        <v>2.7934426229508196</v>
      </c>
      <c r="H57" s="99">
        <f t="shared" si="26"/>
        <v>2.0481520263892867</v>
      </c>
      <c r="J57" s="99">
        <f t="shared" si="27"/>
        <v>24.577824316671439</v>
      </c>
      <c r="K57" s="103">
        <f t="shared" si="28"/>
        <v>1.0817704364732148</v>
      </c>
      <c r="L57" s="104">
        <f t="shared" si="29"/>
        <v>9.01475363727679E-2</v>
      </c>
    </row>
    <row r="58" spans="1:12" x14ac:dyDescent="0.45">
      <c r="A58" s="90">
        <f t="shared" si="30"/>
        <v>1.5</v>
      </c>
      <c r="B58" s="4" t="s">
        <v>16</v>
      </c>
      <c r="C58" s="90">
        <f t="shared" si="23"/>
        <v>1.4985684180717858</v>
      </c>
      <c r="D58" s="118"/>
      <c r="E58" s="92">
        <f t="shared" si="24"/>
        <v>1.014043224573689</v>
      </c>
      <c r="G58" s="99">
        <f t="shared" si="25"/>
        <v>2.8865573770491801</v>
      </c>
      <c r="H58" s="99">
        <f t="shared" si="26"/>
        <v>2.8838024814653553</v>
      </c>
      <c r="J58" s="99">
        <f t="shared" si="27"/>
        <v>34.605629777584262</v>
      </c>
      <c r="K58" s="103">
        <f t="shared" si="28"/>
        <v>1.5231351134500115</v>
      </c>
      <c r="L58" s="104">
        <f t="shared" si="29"/>
        <v>0.12692792612083428</v>
      </c>
    </row>
    <row r="59" spans="1:12" x14ac:dyDescent="0.45">
      <c r="A59" s="90">
        <f t="shared" si="30"/>
        <v>1.5</v>
      </c>
      <c r="B59" s="4" t="s">
        <v>7</v>
      </c>
      <c r="C59" s="90">
        <f t="shared" si="23"/>
        <v>1.7891555954310219</v>
      </c>
      <c r="D59" s="118"/>
      <c r="E59" s="92">
        <f t="shared" si="24"/>
        <v>1.2106761942770521</v>
      </c>
      <c r="G59" s="99">
        <f t="shared" si="25"/>
        <v>2.7934426229508196</v>
      </c>
      <c r="H59" s="99">
        <f t="shared" si="26"/>
        <v>3.3319356662453128</v>
      </c>
      <c r="J59" s="99">
        <f t="shared" si="27"/>
        <v>39.983227994943753</v>
      </c>
      <c r="K59" s="103">
        <f t="shared" si="28"/>
        <v>1.7598251758337919</v>
      </c>
      <c r="L59" s="104">
        <f t="shared" si="29"/>
        <v>0.14665209798614934</v>
      </c>
    </row>
    <row r="60" spans="1:12" x14ac:dyDescent="0.45">
      <c r="A60" s="90">
        <f t="shared" si="30"/>
        <v>1.5</v>
      </c>
      <c r="B60" s="4" t="s">
        <v>17</v>
      </c>
      <c r="C60" s="101">
        <f t="shared" si="23"/>
        <v>1.9566619321899734</v>
      </c>
      <c r="D60" s="118"/>
      <c r="E60" s="92">
        <f t="shared" si="24"/>
        <v>1.3240234821387109</v>
      </c>
      <c r="G60" s="99">
        <f t="shared" si="25"/>
        <v>2.8865573770491801</v>
      </c>
      <c r="H60" s="99">
        <f t="shared" si="26"/>
        <v>3.7653446231695136</v>
      </c>
      <c r="J60" s="99">
        <f t="shared" si="27"/>
        <v>45.184135478034165</v>
      </c>
      <c r="K60" s="103">
        <f t="shared" si="28"/>
        <v>1.9887383573078419</v>
      </c>
      <c r="L60" s="104">
        <f t="shared" si="29"/>
        <v>0.16572819644232015</v>
      </c>
    </row>
    <row r="61" spans="1:12" x14ac:dyDescent="0.45">
      <c r="A61" s="1"/>
      <c r="B61" s="4" t="s">
        <v>13</v>
      </c>
      <c r="C61" s="90">
        <f>AVERAGE(C49:C60)</f>
        <v>1.4778151283460275</v>
      </c>
      <c r="D61" s="118"/>
      <c r="E61" s="1"/>
    </row>
    <row r="64" spans="1:12" x14ac:dyDescent="0.45">
      <c r="C64" s="117" t="s">
        <v>54</v>
      </c>
      <c r="D64" s="117"/>
      <c r="K64" s="120" t="s">
        <v>74</v>
      </c>
      <c r="L64" s="120"/>
    </row>
    <row r="65" spans="1:15" ht="71.25" x14ac:dyDescent="0.45">
      <c r="A65" s="1" t="s">
        <v>75</v>
      </c>
      <c r="B65" s="49" t="s">
        <v>33</v>
      </c>
      <c r="C65" s="3" t="s">
        <v>22</v>
      </c>
      <c r="D65" s="3"/>
      <c r="E65" s="91" t="s">
        <v>58</v>
      </c>
      <c r="G65" s="61" t="s">
        <v>55</v>
      </c>
      <c r="H65" s="62" t="s">
        <v>56</v>
      </c>
      <c r="J65" s="107" t="s">
        <v>79</v>
      </c>
      <c r="K65" s="86" t="s">
        <v>71</v>
      </c>
      <c r="L65" s="86" t="s">
        <v>61</v>
      </c>
    </row>
    <row r="66" spans="1:15" x14ac:dyDescent="0.45">
      <c r="A66" s="90">
        <f>E5</f>
        <v>1.8</v>
      </c>
      <c r="B66" s="4" t="s">
        <v>0</v>
      </c>
      <c r="C66" s="90">
        <f t="shared" ref="C66:C77" si="31">G14*$E$5</f>
        <v>2.3479943186279684</v>
      </c>
      <c r="D66" s="118" t="s">
        <v>60</v>
      </c>
      <c r="E66" s="92">
        <f t="shared" ref="E66:E77" si="32">G14*E$7</f>
        <v>2.2067058035645184</v>
      </c>
      <c r="G66" s="99">
        <f t="shared" ref="G66:G77" si="33">($E$5*$H$5/366)*1</f>
        <v>0.1117377049180328</v>
      </c>
      <c r="H66" s="99">
        <f t="shared" ref="H66:H77" si="34">G66*IF($C$78&gt;3,E66,G14)</f>
        <v>0.1457552757355941</v>
      </c>
      <c r="I66" s="16"/>
      <c r="J66" s="99">
        <f>H66*365</f>
        <v>53.200675643491849</v>
      </c>
      <c r="K66" s="103">
        <f t="shared" ref="K66:K77" si="35">J66/$H$5</f>
        <v>2.3415790336043947</v>
      </c>
      <c r="L66" s="105">
        <f>K66/366</f>
        <v>6.3977569224163786E-3</v>
      </c>
      <c r="O66" s="51"/>
    </row>
    <row r="67" spans="1:15" x14ac:dyDescent="0.45">
      <c r="A67" s="90">
        <f>A66</f>
        <v>1.8</v>
      </c>
      <c r="B67" s="4" t="s">
        <v>1</v>
      </c>
      <c r="C67" s="90">
        <f t="shared" si="31"/>
        <v>2.2408998863022842</v>
      </c>
      <c r="D67" s="118"/>
      <c r="E67" s="92">
        <f t="shared" si="32"/>
        <v>2.1060556855179682</v>
      </c>
      <c r="G67" s="99">
        <f t="shared" si="33"/>
        <v>0.1117377049180328</v>
      </c>
      <c r="H67" s="99">
        <f t="shared" si="34"/>
        <v>0.13910722791472105</v>
      </c>
      <c r="I67" s="16"/>
      <c r="J67" s="99">
        <f t="shared" ref="J67:J77" si="36">H67*365</f>
        <v>50.774138188873181</v>
      </c>
      <c r="K67" s="103">
        <f t="shared" si="35"/>
        <v>2.2347772090173055</v>
      </c>
      <c r="L67" s="105">
        <f t="shared" ref="L67:L77" si="37">K67/366</f>
        <v>6.1059486585172277E-3</v>
      </c>
    </row>
    <row r="68" spans="1:15" x14ac:dyDescent="0.45">
      <c r="A68" s="90">
        <f t="shared" ref="A68:A77" si="38">A67</f>
        <v>1.8</v>
      </c>
      <c r="B68" s="4" t="s">
        <v>14</v>
      </c>
      <c r="C68" s="90">
        <f t="shared" si="31"/>
        <v>2.2858231683186694</v>
      </c>
      <c r="D68" s="118"/>
      <c r="E68" s="92">
        <f t="shared" si="32"/>
        <v>2.148275748128107</v>
      </c>
      <c r="G68" s="99">
        <f t="shared" si="33"/>
        <v>0.1117377049180328</v>
      </c>
      <c r="H68" s="99">
        <f t="shared" si="34"/>
        <v>0.14189590815355238</v>
      </c>
      <c r="I68" s="16"/>
      <c r="J68" s="99">
        <f t="shared" si="36"/>
        <v>51.792006476046616</v>
      </c>
      <c r="K68" s="103">
        <f t="shared" si="35"/>
        <v>2.2795777498259957</v>
      </c>
      <c r="L68" s="105">
        <f t="shared" si="37"/>
        <v>6.2283545077213001E-3</v>
      </c>
    </row>
    <row r="69" spans="1:15" x14ac:dyDescent="0.45">
      <c r="A69" s="90">
        <f t="shared" si="38"/>
        <v>1.8</v>
      </c>
      <c r="B69" s="4" t="s">
        <v>2</v>
      </c>
      <c r="C69" s="90">
        <f t="shared" si="31"/>
        <v>1.7159343344835991</v>
      </c>
      <c r="D69" s="118"/>
      <c r="E69" s="92">
        <f t="shared" si="32"/>
        <v>1.6126794789917656</v>
      </c>
      <c r="G69" s="99">
        <f t="shared" si="33"/>
        <v>0.1117377049180328</v>
      </c>
      <c r="H69" s="99">
        <f t="shared" si="34"/>
        <v>0.10651920240291632</v>
      </c>
      <c r="I69" s="16"/>
      <c r="J69" s="99">
        <f t="shared" si="36"/>
        <v>38.87950887706446</v>
      </c>
      <c r="K69" s="103">
        <f t="shared" si="35"/>
        <v>1.7112459893074148</v>
      </c>
      <c r="L69" s="105">
        <f t="shared" si="37"/>
        <v>4.6755354899109692E-3</v>
      </c>
    </row>
    <row r="70" spans="1:15" x14ac:dyDescent="0.45">
      <c r="A70" s="90">
        <f t="shared" si="38"/>
        <v>1.8</v>
      </c>
      <c r="B70" s="4" t="s">
        <v>15</v>
      </c>
      <c r="C70" s="90">
        <f t="shared" si="31"/>
        <v>1.540502780932488</v>
      </c>
      <c r="D70" s="118"/>
      <c r="E70" s="92">
        <f t="shared" si="32"/>
        <v>1.4478043665273581</v>
      </c>
      <c r="G70" s="99">
        <f t="shared" si="33"/>
        <v>0.1117377049180328</v>
      </c>
      <c r="H70" s="99">
        <f t="shared" si="34"/>
        <v>9.56290250895796E-2</v>
      </c>
      <c r="I70" s="16"/>
      <c r="J70" s="99">
        <f t="shared" si="36"/>
        <v>34.904594157696557</v>
      </c>
      <c r="K70" s="103">
        <f t="shared" si="35"/>
        <v>1.5362937569408697</v>
      </c>
      <c r="L70" s="105">
        <f t="shared" si="37"/>
        <v>4.1975239260679496E-3</v>
      </c>
    </row>
    <row r="71" spans="1:15" x14ac:dyDescent="0.45">
      <c r="A71" s="90">
        <f t="shared" si="38"/>
        <v>1.8</v>
      </c>
      <c r="B71" s="4" t="s">
        <v>3</v>
      </c>
      <c r="C71" s="90">
        <f t="shared" si="31"/>
        <v>1.2765317101333176</v>
      </c>
      <c r="D71" s="118"/>
      <c r="E71" s="92">
        <f t="shared" si="32"/>
        <v>1.1997175252244143</v>
      </c>
      <c r="G71" s="99">
        <f t="shared" si="33"/>
        <v>0.1117377049180328</v>
      </c>
      <c r="H71" s="99">
        <f t="shared" si="34"/>
        <v>7.9242624191882438E-2</v>
      </c>
      <c r="I71" s="16"/>
      <c r="J71" s="99">
        <f>H71*365</f>
        <v>28.92355783003709</v>
      </c>
      <c r="K71" s="103">
        <f t="shared" si="35"/>
        <v>1.2730439185755762</v>
      </c>
      <c r="L71" s="105">
        <f t="shared" si="37"/>
        <v>3.4782620726108641E-3</v>
      </c>
    </row>
    <row r="72" spans="1:15" x14ac:dyDescent="0.45">
      <c r="A72" s="90">
        <f t="shared" si="38"/>
        <v>1.8</v>
      </c>
      <c r="B72" s="4" t="s">
        <v>4</v>
      </c>
      <c r="C72" s="90">
        <f t="shared" si="31"/>
        <v>1.1029022077782162</v>
      </c>
      <c r="D72" s="118"/>
      <c r="E72" s="92">
        <f t="shared" si="32"/>
        <v>1.0365360270933153</v>
      </c>
      <c r="G72" s="99">
        <f t="shared" si="33"/>
        <v>0.1117377049180328</v>
      </c>
      <c r="H72" s="99">
        <f t="shared" si="34"/>
        <v>6.8464311914538445E-2</v>
      </c>
      <c r="I72" s="16"/>
      <c r="J72" s="99">
        <f t="shared" si="36"/>
        <v>24.989473848806533</v>
      </c>
      <c r="K72" s="103">
        <f t="shared" si="35"/>
        <v>1.0998888137678933</v>
      </c>
      <c r="L72" s="105">
        <f t="shared" si="37"/>
        <v>3.0051606933548997E-3</v>
      </c>
    </row>
    <row r="73" spans="1:15" x14ac:dyDescent="0.45">
      <c r="A73" s="90">
        <f t="shared" si="38"/>
        <v>1.8</v>
      </c>
      <c r="B73" s="4" t="s">
        <v>5</v>
      </c>
      <c r="C73" s="90">
        <f t="shared" si="31"/>
        <v>1.1569263742775928</v>
      </c>
      <c r="D73" s="118"/>
      <c r="E73" s="92">
        <f t="shared" si="32"/>
        <v>1.0873093363816329</v>
      </c>
      <c r="G73" s="99">
        <f t="shared" si="33"/>
        <v>0.1117377049180328</v>
      </c>
      <c r="H73" s="99">
        <f t="shared" si="34"/>
        <v>7.1817943233844023E-2</v>
      </c>
      <c r="I73" s="16"/>
      <c r="J73" s="99">
        <f t="shared" si="36"/>
        <v>26.213549280353067</v>
      </c>
      <c r="K73" s="103">
        <f t="shared" si="35"/>
        <v>1.1537653732549766</v>
      </c>
      <c r="L73" s="105">
        <f t="shared" si="37"/>
        <v>3.1523644078004826E-3</v>
      </c>
    </row>
    <row r="74" spans="1:15" x14ac:dyDescent="0.45">
      <c r="A74" s="90">
        <f t="shared" si="38"/>
        <v>1.8</v>
      </c>
      <c r="B74" s="4" t="s">
        <v>6</v>
      </c>
      <c r="C74" s="90">
        <f t="shared" si="31"/>
        <v>1.3197599324973222</v>
      </c>
      <c r="D74" s="118"/>
      <c r="E74" s="92">
        <f t="shared" si="32"/>
        <v>1.2403445269218325</v>
      </c>
      <c r="G74" s="99">
        <f t="shared" si="33"/>
        <v>0.1117377049180328</v>
      </c>
      <c r="H74" s="99">
        <f t="shared" si="34"/>
        <v>8.1926081055571476E-2</v>
      </c>
      <c r="I74" s="16"/>
      <c r="J74" s="99">
        <f t="shared" si="36"/>
        <v>29.903019585283587</v>
      </c>
      <c r="K74" s="103">
        <f t="shared" si="35"/>
        <v>1.3161540310424116</v>
      </c>
      <c r="L74" s="105">
        <f t="shared" si="37"/>
        <v>3.5960492651432008E-3</v>
      </c>
    </row>
    <row r="75" spans="1:15" x14ac:dyDescent="0.45">
      <c r="A75" s="90">
        <f t="shared" si="38"/>
        <v>1.8</v>
      </c>
      <c r="B75" s="4" t="s">
        <v>16</v>
      </c>
      <c r="C75" s="90">
        <f t="shared" si="31"/>
        <v>1.798282101686143</v>
      </c>
      <c r="D75" s="118"/>
      <c r="E75" s="92">
        <f t="shared" si="32"/>
        <v>1.6900720409561483</v>
      </c>
      <c r="G75" s="99">
        <f t="shared" si="33"/>
        <v>0.1117377049180328</v>
      </c>
      <c r="H75" s="99">
        <f t="shared" si="34"/>
        <v>0.11163106379865893</v>
      </c>
      <c r="I75" s="16"/>
      <c r="J75" s="99">
        <f>H75*365</f>
        <v>40.74533828651051</v>
      </c>
      <c r="K75" s="103">
        <f t="shared" si="35"/>
        <v>1.7933687626104979</v>
      </c>
      <c r="L75" s="105">
        <f t="shared" si="37"/>
        <v>4.899914651941251E-3</v>
      </c>
    </row>
    <row r="76" spans="1:15" x14ac:dyDescent="0.45">
      <c r="A76" s="90">
        <f t="shared" si="38"/>
        <v>1.8</v>
      </c>
      <c r="B76" s="4" t="s">
        <v>7</v>
      </c>
      <c r="C76" s="90">
        <f t="shared" si="31"/>
        <v>2.1469867145172263</v>
      </c>
      <c r="D76" s="118"/>
      <c r="E76" s="92">
        <f t="shared" si="32"/>
        <v>2.0177936571284203</v>
      </c>
      <c r="G76" s="99">
        <f t="shared" si="33"/>
        <v>0.1117377049180328</v>
      </c>
      <c r="H76" s="99">
        <f t="shared" si="34"/>
        <v>0.13327742664981254</v>
      </c>
      <c r="I76" s="16"/>
      <c r="J76" s="99">
        <f t="shared" si="36"/>
        <v>48.646260727181577</v>
      </c>
      <c r="K76" s="103">
        <f t="shared" si="35"/>
        <v>2.1411206305977806</v>
      </c>
      <c r="L76" s="105">
        <f t="shared" si="37"/>
        <v>5.8500563677534988E-3</v>
      </c>
    </row>
    <row r="77" spans="1:15" x14ac:dyDescent="0.45">
      <c r="A77" s="90">
        <f t="shared" si="38"/>
        <v>1.8</v>
      </c>
      <c r="B77" s="4" t="s">
        <v>17</v>
      </c>
      <c r="C77" s="90">
        <f t="shared" si="31"/>
        <v>2.3479943186279684</v>
      </c>
      <c r="D77" s="118"/>
      <c r="E77" s="92">
        <f t="shared" si="32"/>
        <v>2.2067058035645184</v>
      </c>
      <c r="G77" s="99">
        <f t="shared" si="33"/>
        <v>0.1117377049180328</v>
      </c>
      <c r="H77" s="99">
        <f t="shared" si="34"/>
        <v>0.1457552757355941</v>
      </c>
      <c r="I77" s="16"/>
      <c r="J77" s="99">
        <f t="shared" si="36"/>
        <v>53.200675643491849</v>
      </c>
      <c r="K77" s="103">
        <f t="shared" si="35"/>
        <v>2.3415790336043947</v>
      </c>
      <c r="L77" s="105">
        <f t="shared" si="37"/>
        <v>6.3977569224163786E-3</v>
      </c>
    </row>
    <row r="78" spans="1:15" x14ac:dyDescent="0.45">
      <c r="B78" s="5" t="s">
        <v>13</v>
      </c>
      <c r="C78" s="102">
        <f>AVERAGE(C66:C77)</f>
        <v>1.7733781540152329</v>
      </c>
      <c r="D78" s="118"/>
    </row>
    <row r="82" spans="2:23" ht="28.5" customHeight="1" x14ac:dyDescent="0.65">
      <c r="B82" s="63"/>
      <c r="C82" s="33" t="s">
        <v>71</v>
      </c>
      <c r="D82" s="33"/>
      <c r="E82" s="63"/>
      <c r="F82" s="63"/>
      <c r="G82" s="63"/>
    </row>
    <row r="83" spans="2:23" x14ac:dyDescent="0.45">
      <c r="C83" s="19"/>
      <c r="D83" s="113" t="s">
        <v>50</v>
      </c>
      <c r="E83" s="114"/>
      <c r="F83" s="113" t="s">
        <v>8</v>
      </c>
      <c r="G83" s="114"/>
      <c r="H83" s="113" t="s">
        <v>9</v>
      </c>
      <c r="I83" s="114"/>
      <c r="K83" s="79" t="s">
        <v>69</v>
      </c>
      <c r="L83" s="65"/>
      <c r="M83" s="65"/>
      <c r="N83" s="65"/>
      <c r="O83" s="65"/>
      <c r="P83" s="65"/>
      <c r="Q83" s="65"/>
      <c r="R83" s="65"/>
      <c r="S83" s="65"/>
      <c r="T83" s="65"/>
      <c r="U83" s="65"/>
      <c r="V83" s="65"/>
      <c r="W83" s="65"/>
    </row>
    <row r="84" spans="2:23" x14ac:dyDescent="0.45">
      <c r="C84" s="20"/>
      <c r="D84" s="17" t="s">
        <v>68</v>
      </c>
      <c r="E84" s="18" t="s">
        <v>67</v>
      </c>
      <c r="F84" s="17" t="s">
        <v>68</v>
      </c>
      <c r="G84" s="18" t="s">
        <v>67</v>
      </c>
      <c r="H84" s="17" t="s">
        <v>68</v>
      </c>
      <c r="I84" s="18" t="s">
        <v>67</v>
      </c>
      <c r="K84" s="74"/>
      <c r="L84" s="77" t="s">
        <v>16</v>
      </c>
      <c r="M84" s="77" t="s">
        <v>7</v>
      </c>
      <c r="N84" s="77" t="s">
        <v>17</v>
      </c>
      <c r="O84" s="77" t="s">
        <v>0</v>
      </c>
      <c r="P84" s="77" t="s">
        <v>1</v>
      </c>
      <c r="Q84" s="77" t="s">
        <v>14</v>
      </c>
      <c r="R84" s="77" t="s">
        <v>2</v>
      </c>
      <c r="S84" s="77" t="s">
        <v>15</v>
      </c>
      <c r="T84" s="77" t="s">
        <v>3</v>
      </c>
      <c r="U84" s="77" t="s">
        <v>4</v>
      </c>
      <c r="V84" s="77" t="s">
        <v>5</v>
      </c>
      <c r="W84" s="78" t="s">
        <v>6</v>
      </c>
    </row>
    <row r="85" spans="2:23" x14ac:dyDescent="0.45">
      <c r="B85" s="4" t="s">
        <v>27</v>
      </c>
      <c r="C85" s="21" t="s">
        <v>0</v>
      </c>
      <c r="D85" s="23">
        <f>VLOOKUP(B85,$I$32:$K$43,3,FALSE)</f>
        <v>1.7333979691251427</v>
      </c>
      <c r="E85" s="59">
        <v>1.7</v>
      </c>
      <c r="F85" s="23">
        <f t="shared" ref="F85:F96" si="39">VLOOKUP(C85,$B$49:$K$61,10,FALSE)</f>
        <v>1.9887383573078419</v>
      </c>
      <c r="G85" s="24">
        <v>1.8959999999999999</v>
      </c>
      <c r="H85" s="23">
        <f>VLOOKUP(C85,$B$66:$K$78,10,FALSE)</f>
        <v>2.3415790336043947</v>
      </c>
      <c r="I85" s="24">
        <v>2.2009499999999997</v>
      </c>
      <c r="K85" s="75"/>
      <c r="L85" s="82" t="s">
        <v>61</v>
      </c>
      <c r="M85" s="82"/>
      <c r="N85" s="82"/>
      <c r="O85" s="82"/>
      <c r="P85" s="82"/>
      <c r="Q85" s="82"/>
      <c r="R85" s="82"/>
      <c r="S85" s="82"/>
      <c r="T85" s="82"/>
      <c r="U85" s="82"/>
      <c r="V85" s="82"/>
      <c r="W85" s="83"/>
    </row>
    <row r="86" spans="2:23" x14ac:dyDescent="0.45">
      <c r="B86" s="4" t="s">
        <v>27</v>
      </c>
      <c r="C86" s="17" t="s">
        <v>1</v>
      </c>
      <c r="D86" s="26">
        <f t="shared" ref="D86:D96" si="40">VLOOKUP(B86,$I$32:$K$43,3,FALSE)</f>
        <v>1.7333979691251427</v>
      </c>
      <c r="E86" s="25">
        <v>1.7</v>
      </c>
      <c r="F86" s="26">
        <f t="shared" si="39"/>
        <v>1.7755764126438862</v>
      </c>
      <c r="G86" s="27">
        <v>1.8599999999999999</v>
      </c>
      <c r="H86" s="26">
        <f t="shared" ref="H86:H96" si="41">VLOOKUP(C86,$B$66:$K$78,10,FALSE)</f>
        <v>2.2347772090173055</v>
      </c>
      <c r="I86" s="27">
        <v>2.4016999999999999</v>
      </c>
      <c r="K86" s="75" t="s">
        <v>50</v>
      </c>
      <c r="L86" s="70">
        <f>L41</f>
        <v>0.35157670719061196</v>
      </c>
      <c r="M86" s="70">
        <f>L42</f>
        <v>0.35157670719061196</v>
      </c>
      <c r="N86" s="70">
        <f>L43</f>
        <v>0.35157670719061196</v>
      </c>
      <c r="O86" s="70">
        <f>L32</f>
        <v>0.43334949228128566</v>
      </c>
      <c r="P86" s="70">
        <f>L33</f>
        <v>0.43334949228128566</v>
      </c>
      <c r="Q86" s="70">
        <f>L34</f>
        <v>0.43334949228128566</v>
      </c>
      <c r="R86" s="70">
        <f>L35</f>
        <v>0.24685813580902344</v>
      </c>
      <c r="S86" s="70">
        <f>L36</f>
        <v>0.24685813580902344</v>
      </c>
      <c r="T86" s="70">
        <f>L37</f>
        <v>0.24685813580902344</v>
      </c>
      <c r="U86" s="70">
        <f>L38</f>
        <v>0.21562508251644538</v>
      </c>
      <c r="V86" s="70">
        <f>L39</f>
        <v>0.21562508251644538</v>
      </c>
      <c r="W86" s="71">
        <f>L40</f>
        <v>0.21562508251644538</v>
      </c>
    </row>
    <row r="87" spans="2:23" x14ac:dyDescent="0.45">
      <c r="B87" s="4" t="s">
        <v>27</v>
      </c>
      <c r="C87" s="17" t="s">
        <v>14</v>
      </c>
      <c r="D87" s="26">
        <f t="shared" si="40"/>
        <v>1.7333979691251427</v>
      </c>
      <c r="E87" s="25">
        <v>1.7</v>
      </c>
      <c r="F87" s="26">
        <f t="shared" si="39"/>
        <v>1.9360797327289276</v>
      </c>
      <c r="G87" s="27">
        <v>2.202</v>
      </c>
      <c r="H87" s="26">
        <f t="shared" si="41"/>
        <v>2.2795777498259957</v>
      </c>
      <c r="I87" s="27">
        <v>2.6024500000000002</v>
      </c>
      <c r="K87" s="75" t="s">
        <v>8</v>
      </c>
      <c r="L87" s="70">
        <f>L58</f>
        <v>0.12692792612083428</v>
      </c>
      <c r="M87" s="70">
        <f>L59</f>
        <v>0.14665209798614934</v>
      </c>
      <c r="N87" s="70">
        <f>L60</f>
        <v>0.16572819644232015</v>
      </c>
      <c r="O87" s="70">
        <f>L49</f>
        <v>0.16572819644232015</v>
      </c>
      <c r="P87" s="70">
        <f>L50</f>
        <v>0.14796470105365719</v>
      </c>
      <c r="Q87" s="70">
        <f>L51</f>
        <v>0.16133997772741063</v>
      </c>
      <c r="R87" s="70">
        <f>L52</f>
        <v>0.11720862940461742</v>
      </c>
      <c r="S87" s="70">
        <f>L53</f>
        <v>0.1087331197834862</v>
      </c>
      <c r="T87" s="70">
        <f>L54</f>
        <v>8.7194788943532608E-2</v>
      </c>
      <c r="U87" s="70">
        <f>L55</f>
        <v>7.7846011933344048E-2</v>
      </c>
      <c r="V87" s="70">
        <f>L56</f>
        <v>8.1659193084256329E-2</v>
      </c>
      <c r="W87" s="71">
        <f>L57</f>
        <v>9.01475363727679E-2</v>
      </c>
    </row>
    <row r="88" spans="2:23" x14ac:dyDescent="0.45">
      <c r="B88" s="4" t="s">
        <v>28</v>
      </c>
      <c r="C88" s="17" t="s">
        <v>2</v>
      </c>
      <c r="D88" s="26">
        <f t="shared" si="40"/>
        <v>0.98743254323609375</v>
      </c>
      <c r="E88" s="27">
        <v>1</v>
      </c>
      <c r="F88" s="26">
        <f t="shared" si="39"/>
        <v>1.4065035528554091</v>
      </c>
      <c r="G88" s="27">
        <v>1.5960000000000001</v>
      </c>
      <c r="H88" s="26">
        <f t="shared" si="41"/>
        <v>1.7112459893074148</v>
      </c>
      <c r="I88" s="27">
        <v>1.7519999999999998</v>
      </c>
      <c r="K88" s="75" t="s">
        <v>9</v>
      </c>
      <c r="L88" s="72">
        <f>L75</f>
        <v>4.899914651941251E-3</v>
      </c>
      <c r="M88" s="72">
        <f>L76</f>
        <v>5.8500563677534988E-3</v>
      </c>
      <c r="N88" s="72">
        <f>L77</f>
        <v>6.3977569224163786E-3</v>
      </c>
      <c r="O88" s="72">
        <f>L66</f>
        <v>6.3977569224163786E-3</v>
      </c>
      <c r="P88" s="72">
        <f>L67</f>
        <v>6.1059486585172277E-3</v>
      </c>
      <c r="Q88" s="72">
        <f>L68</f>
        <v>6.2283545077213001E-3</v>
      </c>
      <c r="R88" s="72">
        <f>L69</f>
        <v>4.6755354899109692E-3</v>
      </c>
      <c r="S88" s="72">
        <f>L70</f>
        <v>4.1975239260679496E-3</v>
      </c>
      <c r="T88" s="72">
        <f>L71</f>
        <v>3.4782620726108641E-3</v>
      </c>
      <c r="U88" s="72">
        <f>L72</f>
        <v>3.0051606933548997E-3</v>
      </c>
      <c r="V88" s="72">
        <f>L73</f>
        <v>3.1523644078004826E-3</v>
      </c>
      <c r="W88" s="73">
        <f>L74</f>
        <v>3.5960492651432008E-3</v>
      </c>
    </row>
    <row r="89" spans="2:23" x14ac:dyDescent="0.45">
      <c r="B89" s="4" t="s">
        <v>28</v>
      </c>
      <c r="C89" s="17" t="s">
        <v>15</v>
      </c>
      <c r="D89" s="26">
        <f t="shared" si="40"/>
        <v>0.98743254323609375</v>
      </c>
      <c r="E89" s="27">
        <v>1</v>
      </c>
      <c r="F89" s="26">
        <f t="shared" si="39"/>
        <v>1.3047974374018343</v>
      </c>
      <c r="G89" s="27">
        <v>0.99995999999999996</v>
      </c>
      <c r="H89" s="26">
        <f t="shared" si="41"/>
        <v>1.5362937569408697</v>
      </c>
      <c r="I89" s="27">
        <v>1.0001</v>
      </c>
      <c r="K89" s="74"/>
      <c r="L89" s="82" t="s">
        <v>70</v>
      </c>
      <c r="M89" s="82"/>
      <c r="N89" s="82"/>
      <c r="O89" s="82"/>
      <c r="P89" s="82"/>
      <c r="Q89" s="82"/>
      <c r="R89" s="82"/>
      <c r="S89" s="82"/>
      <c r="T89" s="82"/>
      <c r="U89" s="82"/>
      <c r="V89" s="82"/>
      <c r="W89" s="83"/>
    </row>
    <row r="90" spans="2:23" x14ac:dyDescent="0.45">
      <c r="B90" s="4" t="s">
        <v>28</v>
      </c>
      <c r="C90" s="17" t="s">
        <v>3</v>
      </c>
      <c r="D90" s="26">
        <f t="shared" si="40"/>
        <v>0.98743254323609375</v>
      </c>
      <c r="E90" s="27">
        <v>1</v>
      </c>
      <c r="F90" s="26">
        <f t="shared" si="39"/>
        <v>1.0463374673223913</v>
      </c>
      <c r="G90" s="27">
        <v>0.99995999999999996</v>
      </c>
      <c r="H90" s="26">
        <f t="shared" si="41"/>
        <v>1.2730439185755762</v>
      </c>
      <c r="I90" s="27">
        <v>1.0001</v>
      </c>
      <c r="K90" s="75" t="s">
        <v>50</v>
      </c>
      <c r="L90" s="66">
        <f t="shared" ref="L90:W90" si="42">L86*4</f>
        <v>1.4063068287624478</v>
      </c>
      <c r="M90" s="66">
        <f t="shared" si="42"/>
        <v>1.4063068287624478</v>
      </c>
      <c r="N90" s="66">
        <f t="shared" si="42"/>
        <v>1.4063068287624478</v>
      </c>
      <c r="O90" s="66">
        <f t="shared" si="42"/>
        <v>1.7333979691251427</v>
      </c>
      <c r="P90" s="66">
        <f t="shared" si="42"/>
        <v>1.7333979691251427</v>
      </c>
      <c r="Q90" s="66">
        <f t="shared" si="42"/>
        <v>1.7333979691251427</v>
      </c>
      <c r="R90" s="66">
        <f t="shared" si="42"/>
        <v>0.98743254323609375</v>
      </c>
      <c r="S90" s="66">
        <f t="shared" si="42"/>
        <v>0.98743254323609375</v>
      </c>
      <c r="T90" s="66">
        <f t="shared" si="42"/>
        <v>0.98743254323609375</v>
      </c>
      <c r="U90" s="66">
        <f t="shared" si="42"/>
        <v>0.86250033006578153</v>
      </c>
      <c r="V90" s="66">
        <f t="shared" si="42"/>
        <v>0.86250033006578153</v>
      </c>
      <c r="W90" s="67">
        <f t="shared" si="42"/>
        <v>0.86250033006578153</v>
      </c>
    </row>
    <row r="91" spans="2:23" x14ac:dyDescent="0.45">
      <c r="B91" s="4" t="s">
        <v>29</v>
      </c>
      <c r="C91" s="17" t="s">
        <v>4</v>
      </c>
      <c r="D91" s="26">
        <f>VLOOKUP(B91,$I$32:$K$43,3,FALSE)</f>
        <v>0.86250033006578153</v>
      </c>
      <c r="E91" s="27">
        <v>1</v>
      </c>
      <c r="F91" s="26">
        <f t="shared" si="39"/>
        <v>0.93415214320012852</v>
      </c>
      <c r="G91" s="27">
        <v>0.99995999999999996</v>
      </c>
      <c r="H91" s="26">
        <f t="shared" si="41"/>
        <v>1.0998888137678933</v>
      </c>
      <c r="I91" s="27">
        <v>1.0001</v>
      </c>
      <c r="K91" s="75" t="s">
        <v>8</v>
      </c>
      <c r="L91" s="66">
        <f t="shared" ref="L91:W91" si="43">L87*12</f>
        <v>1.5231351134500115</v>
      </c>
      <c r="M91" s="66">
        <f t="shared" si="43"/>
        <v>1.7598251758337922</v>
      </c>
      <c r="N91" s="66">
        <f t="shared" si="43"/>
        <v>1.9887383573078417</v>
      </c>
      <c r="O91" s="66">
        <f t="shared" si="43"/>
        <v>1.9887383573078417</v>
      </c>
      <c r="P91" s="66">
        <f t="shared" si="43"/>
        <v>1.7755764126438862</v>
      </c>
      <c r="Q91" s="66">
        <f t="shared" si="43"/>
        <v>1.9360797327289276</v>
      </c>
      <c r="R91" s="66">
        <f t="shared" si="43"/>
        <v>1.4065035528554091</v>
      </c>
      <c r="S91" s="66">
        <f t="shared" si="43"/>
        <v>1.3047974374018343</v>
      </c>
      <c r="T91" s="66">
        <f t="shared" si="43"/>
        <v>1.0463374673223913</v>
      </c>
      <c r="U91" s="66">
        <f t="shared" si="43"/>
        <v>0.93415214320012852</v>
      </c>
      <c r="V91" s="66">
        <f t="shared" si="43"/>
        <v>0.97991031701107589</v>
      </c>
      <c r="W91" s="67">
        <f t="shared" si="43"/>
        <v>1.0817704364732148</v>
      </c>
    </row>
    <row r="92" spans="2:23" x14ac:dyDescent="0.45">
      <c r="B92" s="4" t="s">
        <v>29</v>
      </c>
      <c r="C92" s="17" t="s">
        <v>5</v>
      </c>
      <c r="D92" s="26">
        <f t="shared" si="40"/>
        <v>0.86250033006578153</v>
      </c>
      <c r="E92" s="27">
        <v>1</v>
      </c>
      <c r="F92" s="26">
        <f t="shared" si="39"/>
        <v>0.97991031701107589</v>
      </c>
      <c r="G92" s="27">
        <v>0.99995999999999996</v>
      </c>
      <c r="H92" s="26">
        <f t="shared" si="41"/>
        <v>1.1537653732549766</v>
      </c>
      <c r="I92" s="27">
        <v>1.0001</v>
      </c>
      <c r="K92" s="76" t="s">
        <v>9</v>
      </c>
      <c r="L92" s="68">
        <f t="shared" ref="L92:W92" si="44">L88*366</f>
        <v>1.7933687626104979</v>
      </c>
      <c r="M92" s="68">
        <f t="shared" si="44"/>
        <v>2.1411206305977806</v>
      </c>
      <c r="N92" s="68">
        <f t="shared" si="44"/>
        <v>2.3415790336043947</v>
      </c>
      <c r="O92" s="68">
        <f t="shared" si="44"/>
        <v>2.3415790336043947</v>
      </c>
      <c r="P92" s="68">
        <f t="shared" si="44"/>
        <v>2.2347772090173055</v>
      </c>
      <c r="Q92" s="68">
        <f t="shared" si="44"/>
        <v>2.2795777498259957</v>
      </c>
      <c r="R92" s="68">
        <f t="shared" si="44"/>
        <v>1.7112459893074148</v>
      </c>
      <c r="S92" s="68">
        <f t="shared" si="44"/>
        <v>1.5362937569408697</v>
      </c>
      <c r="T92" s="68">
        <f t="shared" si="44"/>
        <v>1.2730439185755762</v>
      </c>
      <c r="U92" s="68">
        <f t="shared" si="44"/>
        <v>1.0998888137678933</v>
      </c>
      <c r="V92" s="68">
        <f t="shared" si="44"/>
        <v>1.1537653732549766</v>
      </c>
      <c r="W92" s="69">
        <f t="shared" si="44"/>
        <v>1.3161540310424116</v>
      </c>
    </row>
    <row r="93" spans="2:23" x14ac:dyDescent="0.45">
      <c r="B93" s="4" t="s">
        <v>29</v>
      </c>
      <c r="C93" s="17" t="s">
        <v>6</v>
      </c>
      <c r="D93" s="26">
        <f t="shared" si="40"/>
        <v>0.86250033006578153</v>
      </c>
      <c r="E93" s="27">
        <v>1</v>
      </c>
      <c r="F93" s="26">
        <f t="shared" si="39"/>
        <v>1.0817704364732148</v>
      </c>
      <c r="G93" s="27">
        <v>0.99995999999999996</v>
      </c>
      <c r="H93" s="26">
        <f t="shared" si="41"/>
        <v>1.3161540310424116</v>
      </c>
      <c r="I93" s="27">
        <v>1.0001</v>
      </c>
    </row>
    <row r="94" spans="2:23" x14ac:dyDescent="0.45">
      <c r="B94" s="4" t="s">
        <v>30</v>
      </c>
      <c r="C94" s="17" t="s">
        <v>16</v>
      </c>
      <c r="D94" s="26">
        <f t="shared" si="40"/>
        <v>1.4063068287624478</v>
      </c>
      <c r="E94" s="25">
        <v>1.5</v>
      </c>
      <c r="F94" s="26">
        <f t="shared" si="39"/>
        <v>1.5231351134500115</v>
      </c>
      <c r="G94" s="27">
        <v>1.5960000000000001</v>
      </c>
      <c r="H94" s="26">
        <f t="shared" si="41"/>
        <v>1.7933687626104979</v>
      </c>
      <c r="I94" s="27">
        <v>1.7519999999999998</v>
      </c>
    </row>
    <row r="95" spans="2:23" x14ac:dyDescent="0.45">
      <c r="B95" s="4" t="s">
        <v>30</v>
      </c>
      <c r="C95" s="17" t="s">
        <v>7</v>
      </c>
      <c r="D95" s="26">
        <f t="shared" si="40"/>
        <v>1.4063068287624478</v>
      </c>
      <c r="E95" s="25">
        <v>1.5</v>
      </c>
      <c r="F95" s="26">
        <f t="shared" si="39"/>
        <v>1.7598251758337919</v>
      </c>
      <c r="G95" s="27">
        <v>1.5960000000000001</v>
      </c>
      <c r="H95" s="26">
        <f t="shared" si="41"/>
        <v>2.1411206305977806</v>
      </c>
      <c r="I95" s="27">
        <v>1.7519999999999998</v>
      </c>
    </row>
    <row r="96" spans="2:23" x14ac:dyDescent="0.45">
      <c r="B96" s="4" t="s">
        <v>30</v>
      </c>
      <c r="C96" s="22" t="s">
        <v>17</v>
      </c>
      <c r="D96" s="29">
        <f t="shared" si="40"/>
        <v>1.4063068287624478</v>
      </c>
      <c r="E96" s="28">
        <v>1.5</v>
      </c>
      <c r="F96" s="29">
        <f t="shared" si="39"/>
        <v>1.9887383573078419</v>
      </c>
      <c r="G96" s="30">
        <v>1.5960000000000001</v>
      </c>
      <c r="H96" s="29">
        <f t="shared" si="41"/>
        <v>2.3415790336043947</v>
      </c>
      <c r="I96" s="30">
        <v>1.7519999999999998</v>
      </c>
    </row>
    <row r="97" spans="2:10" x14ac:dyDescent="0.45">
      <c r="B97" s="4"/>
    </row>
    <row r="100" spans="2:10" ht="21" x14ac:dyDescent="0.65">
      <c r="C100" s="33" t="s">
        <v>63</v>
      </c>
      <c r="J100" s="42"/>
    </row>
    <row r="101" spans="2:10" x14ac:dyDescent="0.45">
      <c r="C101" s="37" t="s">
        <v>31</v>
      </c>
      <c r="D101" s="80" t="s">
        <v>50</v>
      </c>
      <c r="E101" s="81"/>
      <c r="F101" s="113" t="s">
        <v>8</v>
      </c>
      <c r="G101" s="114"/>
      <c r="H101" s="119" t="s">
        <v>9</v>
      </c>
      <c r="I101" s="114"/>
      <c r="J101" s="43" t="s">
        <v>64</v>
      </c>
    </row>
    <row r="102" spans="2:10" x14ac:dyDescent="0.45">
      <c r="C102" s="38"/>
      <c r="D102" s="17" t="s">
        <v>68</v>
      </c>
      <c r="E102" s="18" t="s">
        <v>67</v>
      </c>
      <c r="F102" s="17" t="s">
        <v>68</v>
      </c>
      <c r="G102" s="18" t="s">
        <v>67</v>
      </c>
      <c r="H102" s="17" t="s">
        <v>68</v>
      </c>
      <c r="I102" s="18" t="s">
        <v>67</v>
      </c>
      <c r="J102" s="44"/>
    </row>
    <row r="103" spans="2:10" x14ac:dyDescent="0.45">
      <c r="C103" s="40" t="s">
        <v>0</v>
      </c>
      <c r="D103" s="23">
        <f t="shared" ref="D103:I114" si="45">($H$5*D85)/4*1000/7.45/24/90</f>
        <v>0.61183820933574495</v>
      </c>
      <c r="E103" s="35">
        <f t="shared" si="45"/>
        <v>0.60004971414367381</v>
      </c>
      <c r="F103" s="23">
        <f t="shared" si="45"/>
        <v>0.70196581341713538</v>
      </c>
      <c r="G103" s="24">
        <f t="shared" si="45"/>
        <v>0.6692319164802385</v>
      </c>
      <c r="H103" s="35">
        <f t="shared" si="45"/>
        <v>0.8265081351524336</v>
      </c>
      <c r="I103" s="24">
        <f t="shared" si="45"/>
        <v>0.7768702460850111</v>
      </c>
      <c r="J103" s="24">
        <f t="shared" ref="J103:J114" si="46">$H$5*1000/7.45/24/365</f>
        <v>0.3481352088504796</v>
      </c>
    </row>
    <row r="104" spans="2:10" x14ac:dyDescent="0.45">
      <c r="C104" s="39" t="s">
        <v>1</v>
      </c>
      <c r="D104" s="26">
        <f t="shared" si="45"/>
        <v>0.61183820933574495</v>
      </c>
      <c r="E104" s="34">
        <f t="shared" si="45"/>
        <v>0.60004971414367381</v>
      </c>
      <c r="F104" s="26">
        <f t="shared" si="45"/>
        <v>0.62672595226306704</v>
      </c>
      <c r="G104" s="27">
        <f t="shared" si="45"/>
        <v>0.65652498135719595</v>
      </c>
      <c r="H104" s="34">
        <f t="shared" si="45"/>
        <v>0.78881025026213603</v>
      </c>
      <c r="I104" s="27">
        <f t="shared" si="45"/>
        <v>0.84772905791697717</v>
      </c>
      <c r="J104" s="27">
        <f t="shared" si="46"/>
        <v>0.3481352088504796</v>
      </c>
    </row>
    <row r="105" spans="2:10" x14ac:dyDescent="0.45">
      <c r="C105" s="39" t="s">
        <v>14</v>
      </c>
      <c r="D105" s="26">
        <f t="shared" si="45"/>
        <v>0.61183820933574495</v>
      </c>
      <c r="E105" s="34">
        <f t="shared" si="45"/>
        <v>0.60004971414367381</v>
      </c>
      <c r="F105" s="26">
        <f t="shared" si="45"/>
        <v>0.68337887657844321</v>
      </c>
      <c r="G105" s="27">
        <f t="shared" si="45"/>
        <v>0.7772408650260999</v>
      </c>
      <c r="H105" s="34">
        <f t="shared" si="45"/>
        <v>0.80462351597139303</v>
      </c>
      <c r="I105" s="27">
        <f t="shared" si="45"/>
        <v>0.91858786974894369</v>
      </c>
      <c r="J105" s="27">
        <f t="shared" si="46"/>
        <v>0.3481352088504796</v>
      </c>
    </row>
    <row r="106" spans="2:10" x14ac:dyDescent="0.45">
      <c r="C106" s="39" t="s">
        <v>2</v>
      </c>
      <c r="D106" s="26">
        <f t="shared" si="45"/>
        <v>0.34853447959116407</v>
      </c>
      <c r="E106" s="34">
        <f t="shared" si="45"/>
        <v>0.35297042008451407</v>
      </c>
      <c r="F106" s="26">
        <f t="shared" si="45"/>
        <v>0.4964541499017352</v>
      </c>
      <c r="G106" s="27">
        <f t="shared" si="45"/>
        <v>0.56334079045488439</v>
      </c>
      <c r="H106" s="34">
        <f t="shared" si="45"/>
        <v>0.60401921571377792</v>
      </c>
      <c r="I106" s="27">
        <f t="shared" si="45"/>
        <v>0.61840417598806841</v>
      </c>
      <c r="J106" s="27">
        <f t="shared" si="46"/>
        <v>0.3481352088504796</v>
      </c>
    </row>
    <row r="107" spans="2:10" x14ac:dyDescent="0.45">
      <c r="C107" s="39" t="s">
        <v>15</v>
      </c>
      <c r="D107" s="26">
        <f t="shared" si="45"/>
        <v>0.34853447959116407</v>
      </c>
      <c r="E107" s="34">
        <f t="shared" si="45"/>
        <v>0.35297042008451407</v>
      </c>
      <c r="F107" s="26">
        <f t="shared" si="45"/>
        <v>0.4605548996049228</v>
      </c>
      <c r="G107" s="27">
        <f t="shared" si="45"/>
        <v>0.35295630126771066</v>
      </c>
      <c r="H107" s="34">
        <f t="shared" si="45"/>
        <v>0.542266252760635</v>
      </c>
      <c r="I107" s="27">
        <f t="shared" si="45"/>
        <v>0.35300571712652251</v>
      </c>
      <c r="J107" s="27">
        <f t="shared" si="46"/>
        <v>0.3481352088504796</v>
      </c>
    </row>
    <row r="108" spans="2:10" x14ac:dyDescent="0.45">
      <c r="C108" s="39" t="s">
        <v>3</v>
      </c>
      <c r="D108" s="26">
        <f t="shared" si="45"/>
        <v>0.34853447959116407</v>
      </c>
      <c r="E108" s="34">
        <f t="shared" si="45"/>
        <v>0.35297042008451407</v>
      </c>
      <c r="F108" s="26">
        <f t="shared" si="45"/>
        <v>0.36932617539095097</v>
      </c>
      <c r="G108" s="27">
        <f t="shared" si="45"/>
        <v>0.35295630126771066</v>
      </c>
      <c r="H108" s="34">
        <f t="shared" si="45"/>
        <v>0.449346846725657</v>
      </c>
      <c r="I108" s="27">
        <f t="shared" si="45"/>
        <v>0.35300571712652251</v>
      </c>
      <c r="J108" s="27">
        <f t="shared" si="46"/>
        <v>0.3481352088504796</v>
      </c>
    </row>
    <row r="109" spans="2:10" x14ac:dyDescent="0.45">
      <c r="C109" s="39" t="s">
        <v>4</v>
      </c>
      <c r="D109" s="26">
        <f t="shared" si="45"/>
        <v>0.30443710382635086</v>
      </c>
      <c r="E109" s="34">
        <f t="shared" si="45"/>
        <v>0.35297042008451407</v>
      </c>
      <c r="F109" s="26">
        <f t="shared" si="45"/>
        <v>0.32972807440819846</v>
      </c>
      <c r="G109" s="27">
        <f t="shared" si="45"/>
        <v>0.35295630126771066</v>
      </c>
      <c r="H109" s="34">
        <f t="shared" si="45"/>
        <v>0.38822821664191109</v>
      </c>
      <c r="I109" s="27">
        <f t="shared" si="45"/>
        <v>0.35300571712652251</v>
      </c>
      <c r="J109" s="27">
        <f t="shared" si="46"/>
        <v>0.3481352088504796</v>
      </c>
    </row>
    <row r="110" spans="2:10" x14ac:dyDescent="0.45">
      <c r="C110" s="39" t="s">
        <v>5</v>
      </c>
      <c r="D110" s="26">
        <f t="shared" si="45"/>
        <v>0.30443710382635086</v>
      </c>
      <c r="E110" s="34">
        <f t="shared" si="45"/>
        <v>0.35297042008451407</v>
      </c>
      <c r="F110" s="26">
        <f t="shared" si="45"/>
        <v>0.34587935624054877</v>
      </c>
      <c r="G110" s="27">
        <f t="shared" si="45"/>
        <v>0.35295630126771066</v>
      </c>
      <c r="H110" s="34">
        <f t="shared" si="45"/>
        <v>0.40724504847677523</v>
      </c>
      <c r="I110" s="27">
        <f t="shared" si="45"/>
        <v>0.35300571712652251</v>
      </c>
      <c r="J110" s="27">
        <f t="shared" si="46"/>
        <v>0.3481352088504796</v>
      </c>
    </row>
    <row r="111" spans="2:10" x14ac:dyDescent="0.45">
      <c r="C111" s="39" t="s">
        <v>6</v>
      </c>
      <c r="D111" s="26">
        <f t="shared" si="45"/>
        <v>0.30443710382635086</v>
      </c>
      <c r="E111" s="34">
        <f t="shared" si="45"/>
        <v>0.35297042008451407</v>
      </c>
      <c r="F111" s="26">
        <f t="shared" si="45"/>
        <v>0.38183296539695871</v>
      </c>
      <c r="G111" s="27">
        <f t="shared" si="45"/>
        <v>0.35295630126771066</v>
      </c>
      <c r="H111" s="34">
        <f t="shared" si="45"/>
        <v>0.46456344123296645</v>
      </c>
      <c r="I111" s="27">
        <f t="shared" si="45"/>
        <v>0.35300571712652251</v>
      </c>
      <c r="J111" s="27">
        <f t="shared" si="46"/>
        <v>0.3481352088504796</v>
      </c>
    </row>
    <row r="112" spans="2:10" x14ac:dyDescent="0.45">
      <c r="C112" s="39" t="s">
        <v>16</v>
      </c>
      <c r="D112" s="26">
        <f t="shared" si="45"/>
        <v>0.49638471211600194</v>
      </c>
      <c r="E112" s="34">
        <f t="shared" si="45"/>
        <v>0.52945563012677099</v>
      </c>
      <c r="F112" s="26">
        <f t="shared" si="45"/>
        <v>0.53762164083992448</v>
      </c>
      <c r="G112" s="27">
        <f t="shared" si="45"/>
        <v>0.56334079045488439</v>
      </c>
      <c r="H112" s="34">
        <f t="shared" si="45"/>
        <v>0.63300612550507251</v>
      </c>
      <c r="I112" s="27">
        <f t="shared" si="45"/>
        <v>0.61840417598806841</v>
      </c>
      <c r="J112" s="27">
        <f t="shared" si="46"/>
        <v>0.3481352088504796</v>
      </c>
    </row>
    <row r="113" spans="3:10" x14ac:dyDescent="0.45">
      <c r="C113" s="39" t="s">
        <v>7</v>
      </c>
      <c r="D113" s="26">
        <f t="shared" si="45"/>
        <v>0.49638471211600194</v>
      </c>
      <c r="E113" s="34">
        <f t="shared" si="45"/>
        <v>0.52945563012677099</v>
      </c>
      <c r="F113" s="26">
        <f t="shared" si="45"/>
        <v>0.62116623158935724</v>
      </c>
      <c r="G113" s="27">
        <f t="shared" si="45"/>
        <v>0.56334079045488439</v>
      </c>
      <c r="H113" s="34">
        <f t="shared" si="45"/>
        <v>0.75575224843371813</v>
      </c>
      <c r="I113" s="27">
        <f t="shared" si="45"/>
        <v>0.61840417598806841</v>
      </c>
      <c r="J113" s="27">
        <f t="shared" si="46"/>
        <v>0.3481352088504796</v>
      </c>
    </row>
    <row r="114" spans="3:10" x14ac:dyDescent="0.45">
      <c r="C114" s="41" t="s">
        <v>17</v>
      </c>
      <c r="D114" s="29">
        <f t="shared" si="45"/>
        <v>0.49638471211600194</v>
      </c>
      <c r="E114" s="36">
        <f t="shared" si="45"/>
        <v>0.52945563012677099</v>
      </c>
      <c r="F114" s="29">
        <f t="shared" si="45"/>
        <v>0.70196581341713538</v>
      </c>
      <c r="G114" s="30">
        <f t="shared" si="45"/>
        <v>0.56334079045488439</v>
      </c>
      <c r="H114" s="36">
        <f t="shared" si="45"/>
        <v>0.8265081351524336</v>
      </c>
      <c r="I114" s="30">
        <f t="shared" si="45"/>
        <v>0.61840417598806841</v>
      </c>
      <c r="J114" s="30">
        <f t="shared" si="46"/>
        <v>0.3481352088504796</v>
      </c>
    </row>
  </sheetData>
  <mergeCells count="15">
    <mergeCell ref="F101:G101"/>
    <mergeCell ref="H101:I101"/>
    <mergeCell ref="H83:I83"/>
    <mergeCell ref="F83:G83"/>
    <mergeCell ref="K30:L30"/>
    <mergeCell ref="K47:L47"/>
    <mergeCell ref="K64:L64"/>
    <mergeCell ref="H8:I8"/>
    <mergeCell ref="D83:E83"/>
    <mergeCell ref="B2:G2"/>
    <mergeCell ref="C47:E47"/>
    <mergeCell ref="C64:D64"/>
    <mergeCell ref="D49:D61"/>
    <mergeCell ref="D66:D78"/>
    <mergeCell ref="D32:D44"/>
  </mergeCells>
  <pageMargins left="0.7" right="0.7" top="0.78740157499999996" bottom="0.78740157499999996" header="0.3" footer="0.3"/>
  <pageSetup paperSize="8" scale="8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Seasonal factors</vt:lpstr>
    </vt:vector>
  </TitlesOfParts>
  <Company>ONTRAS Gastransport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Krap, Niels</dc:creator>
  <cp:lastModifiedBy>Camilla Mejdahl Mikkelsen</cp:lastModifiedBy>
  <cp:lastPrinted>2017-06-27T12:26:12Z</cp:lastPrinted>
  <dcterms:created xsi:type="dcterms:W3CDTF">2017-01-31T17:51:16Z</dcterms:created>
  <dcterms:modified xsi:type="dcterms:W3CDTF">2019-03-21T09:08:05Z</dcterms:modified>
</cp:coreProperties>
</file>